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Kubikova\Documents\OMP\Veřejné zakázky\VZMR\2025\Rekonstrukce podhledu v tělocvičně ZŠ TGM\Příloha č. 5 - Soupis prací s výkazem výměr\"/>
    </mc:Choice>
  </mc:AlternateContent>
  <xr:revisionPtr revIDLastSave="0" documentId="13_ncr:1_{CFCC16E3-01FE-4E33-A80F-C0CD3A3CDDEF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Krycí list rozpočtu" sheetId="2" r:id="rId1"/>
    <sheet name="Stavební rozpočet" sheetId="1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3" l="1"/>
  <c r="F44" i="3"/>
  <c r="F43" i="3"/>
  <c r="I43" i="3" s="1"/>
  <c r="F42" i="3"/>
  <c r="I42" i="3" s="1"/>
  <c r="I41" i="3"/>
  <c r="F41" i="3"/>
  <c r="F40" i="3"/>
  <c r="I40" i="3" s="1"/>
  <c r="F39" i="3"/>
  <c r="I39" i="3" s="1"/>
  <c r="I38" i="3"/>
  <c r="F38" i="3"/>
  <c r="F37" i="3"/>
  <c r="I37" i="3" s="1"/>
  <c r="I35" i="3"/>
  <c r="F35" i="3"/>
  <c r="I26" i="3"/>
  <c r="I25" i="3"/>
  <c r="I18" i="2" s="1"/>
  <c r="I24" i="3"/>
  <c r="I23" i="3"/>
  <c r="I22" i="3"/>
  <c r="I15" i="2" s="1"/>
  <c r="I21" i="3"/>
  <c r="I27" i="3" s="1"/>
  <c r="I17" i="3"/>
  <c r="I16" i="3"/>
  <c r="I15" i="3"/>
  <c r="I18" i="3" s="1"/>
  <c r="F29" i="3" s="1"/>
  <c r="I10" i="3"/>
  <c r="F10" i="3"/>
  <c r="C10" i="3"/>
  <c r="F8" i="3"/>
  <c r="C8" i="3"/>
  <c r="F6" i="3"/>
  <c r="C6" i="3"/>
  <c r="F4" i="3"/>
  <c r="C4" i="3"/>
  <c r="F2" i="3"/>
  <c r="C2" i="3"/>
  <c r="I19" i="2"/>
  <c r="I17" i="2"/>
  <c r="I16" i="2"/>
  <c r="F16" i="2"/>
  <c r="F15" i="2"/>
  <c r="F14" i="2"/>
  <c r="F22" i="2" s="1"/>
  <c r="C10" i="2"/>
  <c r="F8" i="2"/>
  <c r="F6" i="2"/>
  <c r="C6" i="2"/>
  <c r="F4" i="2"/>
  <c r="C4" i="2"/>
  <c r="F2" i="2"/>
  <c r="C2" i="2"/>
  <c r="BO77" i="1"/>
  <c r="BJ77" i="1"/>
  <c r="BF77" i="1"/>
  <c r="BD77" i="1"/>
  <c r="AP77" i="1"/>
  <c r="I77" i="1" s="1"/>
  <c r="I75" i="1" s="1"/>
  <c r="AO77" i="1"/>
  <c r="AW77" i="1" s="1"/>
  <c r="AK77" i="1"/>
  <c r="AJ77" i="1"/>
  <c r="AH77" i="1"/>
  <c r="AG77" i="1"/>
  <c r="AF77" i="1"/>
  <c r="AE77" i="1"/>
  <c r="AD77" i="1"/>
  <c r="AC77" i="1"/>
  <c r="AB77" i="1"/>
  <c r="Z77" i="1"/>
  <c r="J77" i="1"/>
  <c r="AL77" i="1" s="1"/>
  <c r="H77" i="1"/>
  <c r="BO76" i="1"/>
  <c r="BJ76" i="1"/>
  <c r="BI76" i="1"/>
  <c r="BH76" i="1"/>
  <c r="BF76" i="1"/>
  <c r="BD76" i="1"/>
  <c r="AX76" i="1"/>
  <c r="AW76" i="1"/>
  <c r="BC76" i="1" s="1"/>
  <c r="AV76" i="1"/>
  <c r="AP76" i="1"/>
  <c r="AO76" i="1"/>
  <c r="H76" i="1" s="1"/>
  <c r="H75" i="1" s="1"/>
  <c r="AK76" i="1"/>
  <c r="AJ76" i="1"/>
  <c r="AS75" i="1" s="1"/>
  <c r="AH76" i="1"/>
  <c r="AG76" i="1"/>
  <c r="AF76" i="1"/>
  <c r="AE76" i="1"/>
  <c r="AD76" i="1"/>
  <c r="AC76" i="1"/>
  <c r="AB76" i="1"/>
  <c r="Z76" i="1"/>
  <c r="J76" i="1"/>
  <c r="AL76" i="1" s="1"/>
  <c r="AU75" i="1" s="1"/>
  <c r="I76" i="1"/>
  <c r="AT75" i="1"/>
  <c r="BN74" i="1"/>
  <c r="F36" i="3" s="1"/>
  <c r="I36" i="3" s="1"/>
  <c r="BJ74" i="1"/>
  <c r="BH74" i="1"/>
  <c r="BF74" i="1"/>
  <c r="BD74" i="1"/>
  <c r="AX74" i="1"/>
  <c r="AP74" i="1"/>
  <c r="BI74" i="1" s="1"/>
  <c r="AO74" i="1"/>
  <c r="AW74" i="1" s="1"/>
  <c r="AL74" i="1"/>
  <c r="AU73" i="1" s="1"/>
  <c r="AK74" i="1"/>
  <c r="AT73" i="1" s="1"/>
  <c r="AJ74" i="1"/>
  <c r="AH74" i="1"/>
  <c r="AG74" i="1"/>
  <c r="AF74" i="1"/>
  <c r="AE74" i="1"/>
  <c r="AD74" i="1"/>
  <c r="AC74" i="1"/>
  <c r="AB74" i="1"/>
  <c r="Z74" i="1"/>
  <c r="J74" i="1"/>
  <c r="I74" i="1"/>
  <c r="H74" i="1"/>
  <c r="H73" i="1" s="1"/>
  <c r="H72" i="1" s="1"/>
  <c r="AS73" i="1"/>
  <c r="J73" i="1"/>
  <c r="I73" i="1"/>
  <c r="I72" i="1" s="1"/>
  <c r="BJ70" i="1"/>
  <c r="Z70" i="1" s="1"/>
  <c r="BI70" i="1"/>
  <c r="BH70" i="1"/>
  <c r="BF70" i="1"/>
  <c r="BD70" i="1"/>
  <c r="AX70" i="1"/>
  <c r="AW70" i="1"/>
  <c r="BC70" i="1" s="1"/>
  <c r="AV70" i="1"/>
  <c r="AP70" i="1"/>
  <c r="AO70" i="1"/>
  <c r="H70" i="1" s="1"/>
  <c r="AK70" i="1"/>
  <c r="AJ70" i="1"/>
  <c r="AH70" i="1"/>
  <c r="AG70" i="1"/>
  <c r="AF70" i="1"/>
  <c r="AE70" i="1"/>
  <c r="AD70" i="1"/>
  <c r="AC70" i="1"/>
  <c r="AB70" i="1"/>
  <c r="J70" i="1"/>
  <c r="AL70" i="1" s="1"/>
  <c r="I70" i="1"/>
  <c r="BJ68" i="1"/>
  <c r="Z68" i="1" s="1"/>
  <c r="BI68" i="1"/>
  <c r="BF68" i="1"/>
  <c r="BD68" i="1"/>
  <c r="AX68" i="1"/>
  <c r="AW68" i="1"/>
  <c r="AP68" i="1"/>
  <c r="I68" i="1" s="1"/>
  <c r="AO68" i="1"/>
  <c r="BH68" i="1" s="1"/>
  <c r="AK68" i="1"/>
  <c r="AJ68" i="1"/>
  <c r="AS60" i="1" s="1"/>
  <c r="AH68" i="1"/>
  <c r="AG68" i="1"/>
  <c r="AF68" i="1"/>
  <c r="AE68" i="1"/>
  <c r="AD68" i="1"/>
  <c r="AC68" i="1"/>
  <c r="AB68" i="1"/>
  <c r="J68" i="1"/>
  <c r="AL68" i="1" s="1"/>
  <c r="H68" i="1"/>
  <c r="BJ66" i="1"/>
  <c r="Z66" i="1" s="1"/>
  <c r="BH66" i="1"/>
  <c r="BF66" i="1"/>
  <c r="BD66" i="1"/>
  <c r="AX66" i="1"/>
  <c r="AP66" i="1"/>
  <c r="BI66" i="1" s="1"/>
  <c r="AO66" i="1"/>
  <c r="AW66" i="1" s="1"/>
  <c r="AL66" i="1"/>
  <c r="AK66" i="1"/>
  <c r="AT60" i="1" s="1"/>
  <c r="AJ66" i="1"/>
  <c r="AH66" i="1"/>
  <c r="AG66" i="1"/>
  <c r="AF66" i="1"/>
  <c r="AE66" i="1"/>
  <c r="AD66" i="1"/>
  <c r="AC66" i="1"/>
  <c r="AB66" i="1"/>
  <c r="J66" i="1"/>
  <c r="I66" i="1"/>
  <c r="H66" i="1"/>
  <c r="BJ65" i="1"/>
  <c r="BI65" i="1"/>
  <c r="BF65" i="1"/>
  <c r="BD65" i="1"/>
  <c r="AP65" i="1"/>
  <c r="AX65" i="1" s="1"/>
  <c r="AO65" i="1"/>
  <c r="H65" i="1" s="1"/>
  <c r="AL65" i="1"/>
  <c r="AK65" i="1"/>
  <c r="AJ65" i="1"/>
  <c r="AH65" i="1"/>
  <c r="AG65" i="1"/>
  <c r="AF65" i="1"/>
  <c r="AE65" i="1"/>
  <c r="AD65" i="1"/>
  <c r="AC65" i="1"/>
  <c r="AB65" i="1"/>
  <c r="Z65" i="1"/>
  <c r="J65" i="1"/>
  <c r="I65" i="1"/>
  <c r="BJ63" i="1"/>
  <c r="BF63" i="1"/>
  <c r="BD63" i="1"/>
  <c r="AP63" i="1"/>
  <c r="I63" i="1" s="1"/>
  <c r="AO63" i="1"/>
  <c r="AK63" i="1"/>
  <c r="AJ63" i="1"/>
  <c r="AH63" i="1"/>
  <c r="AG63" i="1"/>
  <c r="AF63" i="1"/>
  <c r="AE63" i="1"/>
  <c r="AD63" i="1"/>
  <c r="AC63" i="1"/>
  <c r="AB63" i="1"/>
  <c r="Z63" i="1"/>
  <c r="J63" i="1"/>
  <c r="BJ61" i="1"/>
  <c r="BH61" i="1"/>
  <c r="BF61" i="1"/>
  <c r="BD61" i="1"/>
  <c r="AW61" i="1"/>
  <c r="AP61" i="1"/>
  <c r="AO61" i="1"/>
  <c r="AL61" i="1"/>
  <c r="AK61" i="1"/>
  <c r="AJ61" i="1"/>
  <c r="AH61" i="1"/>
  <c r="AG61" i="1"/>
  <c r="AF61" i="1"/>
  <c r="AE61" i="1"/>
  <c r="AD61" i="1"/>
  <c r="AC61" i="1"/>
  <c r="AB61" i="1"/>
  <c r="Z61" i="1"/>
  <c r="J61" i="1"/>
  <c r="H61" i="1"/>
  <c r="BJ59" i="1"/>
  <c r="BI59" i="1"/>
  <c r="AG59" i="1" s="1"/>
  <c r="BH59" i="1"/>
  <c r="AF59" i="1" s="1"/>
  <c r="BF59" i="1"/>
  <c r="BD59" i="1"/>
  <c r="AX59" i="1"/>
  <c r="AW59" i="1"/>
  <c r="BC59" i="1" s="1"/>
  <c r="AV59" i="1"/>
  <c r="AP59" i="1"/>
  <c r="AO59" i="1"/>
  <c r="H59" i="1" s="1"/>
  <c r="H58" i="1" s="1"/>
  <c r="AK59" i="1"/>
  <c r="AJ59" i="1"/>
  <c r="AS58" i="1" s="1"/>
  <c r="AH59" i="1"/>
  <c r="AE59" i="1"/>
  <c r="AD59" i="1"/>
  <c r="AC59" i="1"/>
  <c r="AB59" i="1"/>
  <c r="Z59" i="1"/>
  <c r="J59" i="1"/>
  <c r="AL59" i="1" s="1"/>
  <c r="AU58" i="1" s="1"/>
  <c r="I59" i="1"/>
  <c r="AT58" i="1"/>
  <c r="J58" i="1"/>
  <c r="I58" i="1"/>
  <c r="BJ56" i="1"/>
  <c r="BI56" i="1"/>
  <c r="AC56" i="1" s="1"/>
  <c r="BF56" i="1"/>
  <c r="BD56" i="1"/>
  <c r="AX56" i="1"/>
  <c r="AW56" i="1"/>
  <c r="AP56" i="1"/>
  <c r="I56" i="1" s="1"/>
  <c r="AO56" i="1"/>
  <c r="BH56" i="1" s="1"/>
  <c r="AB56" i="1" s="1"/>
  <c r="AK56" i="1"/>
  <c r="AJ56" i="1"/>
  <c r="AS52" i="1" s="1"/>
  <c r="AH56" i="1"/>
  <c r="AG56" i="1"/>
  <c r="AF56" i="1"/>
  <c r="AE56" i="1"/>
  <c r="AD56" i="1"/>
  <c r="Z56" i="1"/>
  <c r="J56" i="1"/>
  <c r="AL56" i="1" s="1"/>
  <c r="H56" i="1"/>
  <c r="BJ53" i="1"/>
  <c r="BH53" i="1"/>
  <c r="BF53" i="1"/>
  <c r="BD53" i="1"/>
  <c r="AX53" i="1"/>
  <c r="AP53" i="1"/>
  <c r="BI53" i="1" s="1"/>
  <c r="AC53" i="1" s="1"/>
  <c r="AO53" i="1"/>
  <c r="AW53" i="1" s="1"/>
  <c r="AL53" i="1"/>
  <c r="AU52" i="1" s="1"/>
  <c r="AK53" i="1"/>
  <c r="AT52" i="1" s="1"/>
  <c r="AJ53" i="1"/>
  <c r="AH53" i="1"/>
  <c r="AG53" i="1"/>
  <c r="AF53" i="1"/>
  <c r="AE53" i="1"/>
  <c r="AD53" i="1"/>
  <c r="AB53" i="1"/>
  <c r="Z53" i="1"/>
  <c r="J53" i="1"/>
  <c r="I53" i="1"/>
  <c r="I52" i="1" s="1"/>
  <c r="H53" i="1"/>
  <c r="J52" i="1"/>
  <c r="H52" i="1"/>
  <c r="BJ49" i="1"/>
  <c r="BI49" i="1"/>
  <c r="BF49" i="1"/>
  <c r="BD49" i="1"/>
  <c r="BC49" i="1"/>
  <c r="AW49" i="1"/>
  <c r="AV49" i="1" s="1"/>
  <c r="AP49" i="1"/>
  <c r="AX49" i="1" s="1"/>
  <c r="AO49" i="1"/>
  <c r="H49" i="1" s="1"/>
  <c r="AL49" i="1"/>
  <c r="AK49" i="1"/>
  <c r="AJ49" i="1"/>
  <c r="AH49" i="1"/>
  <c r="AG49" i="1"/>
  <c r="AF49" i="1"/>
  <c r="AE49" i="1"/>
  <c r="AD49" i="1"/>
  <c r="AC49" i="1"/>
  <c r="Z49" i="1"/>
  <c r="J49" i="1"/>
  <c r="I49" i="1"/>
  <c r="BJ46" i="1"/>
  <c r="BF46" i="1"/>
  <c r="BD46" i="1"/>
  <c r="AX46" i="1"/>
  <c r="AP46" i="1"/>
  <c r="I46" i="1" s="1"/>
  <c r="AO46" i="1"/>
  <c r="AK46" i="1"/>
  <c r="AT42" i="1" s="1"/>
  <c r="AJ46" i="1"/>
  <c r="AH46" i="1"/>
  <c r="AG46" i="1"/>
  <c r="AF46" i="1"/>
  <c r="AE46" i="1"/>
  <c r="AD46" i="1"/>
  <c r="Z46" i="1"/>
  <c r="J46" i="1"/>
  <c r="BJ43" i="1"/>
  <c r="BH43" i="1"/>
  <c r="BF43" i="1"/>
  <c r="BD43" i="1"/>
  <c r="AW43" i="1"/>
  <c r="AP43" i="1"/>
  <c r="AO43" i="1"/>
  <c r="AL43" i="1"/>
  <c r="AK43" i="1"/>
  <c r="AJ43" i="1"/>
  <c r="AH43" i="1"/>
  <c r="AG43" i="1"/>
  <c r="AF43" i="1"/>
  <c r="AE43" i="1"/>
  <c r="AD43" i="1"/>
  <c r="AB43" i="1"/>
  <c r="Z43" i="1"/>
  <c r="J43" i="1"/>
  <c r="I43" i="1"/>
  <c r="I42" i="1" s="1"/>
  <c r="H43" i="1"/>
  <c r="AS42" i="1"/>
  <c r="BJ40" i="1"/>
  <c r="BI40" i="1"/>
  <c r="AE40" i="1" s="1"/>
  <c r="BF40" i="1"/>
  <c r="BD40" i="1"/>
  <c r="AX40" i="1"/>
  <c r="AP40" i="1"/>
  <c r="AO40" i="1"/>
  <c r="AK40" i="1"/>
  <c r="AJ40" i="1"/>
  <c r="AH40" i="1"/>
  <c r="AG40" i="1"/>
  <c r="AF40" i="1"/>
  <c r="AC40" i="1"/>
  <c r="AB40" i="1"/>
  <c r="Z40" i="1"/>
  <c r="J40" i="1"/>
  <c r="AL40" i="1" s="1"/>
  <c r="I40" i="1"/>
  <c r="BJ38" i="1"/>
  <c r="BI38" i="1"/>
  <c r="AE38" i="1" s="1"/>
  <c r="BF38" i="1"/>
  <c r="BD38" i="1"/>
  <c r="AW38" i="1"/>
  <c r="AP38" i="1"/>
  <c r="AO38" i="1"/>
  <c r="BH38" i="1" s="1"/>
  <c r="AD38" i="1" s="1"/>
  <c r="AK38" i="1"/>
  <c r="AJ38" i="1"/>
  <c r="AH38" i="1"/>
  <c r="AG38" i="1"/>
  <c r="AF38" i="1"/>
  <c r="AC38" i="1"/>
  <c r="AB38" i="1"/>
  <c r="Z38" i="1"/>
  <c r="J38" i="1"/>
  <c r="AL38" i="1" s="1"/>
  <c r="H38" i="1"/>
  <c r="BJ36" i="1"/>
  <c r="BH36" i="1"/>
  <c r="AD36" i="1" s="1"/>
  <c r="BF36" i="1"/>
  <c r="BD36" i="1"/>
  <c r="AX36" i="1"/>
  <c r="AV36" i="1"/>
  <c r="AP36" i="1"/>
  <c r="BI36" i="1" s="1"/>
  <c r="AO36" i="1"/>
  <c r="AW36" i="1" s="1"/>
  <c r="BC36" i="1" s="1"/>
  <c r="AL36" i="1"/>
  <c r="AK36" i="1"/>
  <c r="AJ36" i="1"/>
  <c r="AH36" i="1"/>
  <c r="AG36" i="1"/>
  <c r="AF36" i="1"/>
  <c r="AE36" i="1"/>
  <c r="AC36" i="1"/>
  <c r="AB36" i="1"/>
  <c r="Z36" i="1"/>
  <c r="J36" i="1"/>
  <c r="I36" i="1"/>
  <c r="H36" i="1"/>
  <c r="BJ34" i="1"/>
  <c r="BI34" i="1"/>
  <c r="BF34" i="1"/>
  <c r="BD34" i="1"/>
  <c r="AP34" i="1"/>
  <c r="AX34" i="1" s="1"/>
  <c r="AO34" i="1"/>
  <c r="AW34" i="1" s="1"/>
  <c r="AL34" i="1"/>
  <c r="AK34" i="1"/>
  <c r="AJ34" i="1"/>
  <c r="AH34" i="1"/>
  <c r="AG34" i="1"/>
  <c r="AF34" i="1"/>
  <c r="AE34" i="1"/>
  <c r="AC34" i="1"/>
  <c r="AB34" i="1"/>
  <c r="Z34" i="1"/>
  <c r="J34" i="1"/>
  <c r="I34" i="1"/>
  <c r="BJ32" i="1"/>
  <c r="BF32" i="1"/>
  <c r="BD32" i="1"/>
  <c r="AX32" i="1"/>
  <c r="AP32" i="1"/>
  <c r="AO32" i="1"/>
  <c r="AK32" i="1"/>
  <c r="AJ32" i="1"/>
  <c r="AH32" i="1"/>
  <c r="AG32" i="1"/>
  <c r="AF32" i="1"/>
  <c r="AC32" i="1"/>
  <c r="AB32" i="1"/>
  <c r="Z32" i="1"/>
  <c r="J32" i="1"/>
  <c r="AL32" i="1" s="1"/>
  <c r="BJ30" i="1"/>
  <c r="BH30" i="1"/>
  <c r="AD30" i="1" s="1"/>
  <c r="BF30" i="1"/>
  <c r="BD30" i="1"/>
  <c r="AW30" i="1"/>
  <c r="AP30" i="1"/>
  <c r="I30" i="1" s="1"/>
  <c r="AO30" i="1"/>
  <c r="AL30" i="1"/>
  <c r="AU28" i="1" s="1"/>
  <c r="AK30" i="1"/>
  <c r="AJ30" i="1"/>
  <c r="AH30" i="1"/>
  <c r="AG30" i="1"/>
  <c r="AF30" i="1"/>
  <c r="AC30" i="1"/>
  <c r="AB30" i="1"/>
  <c r="Z30" i="1"/>
  <c r="J30" i="1"/>
  <c r="H30" i="1"/>
  <c r="BJ29" i="1"/>
  <c r="BI29" i="1"/>
  <c r="AE29" i="1" s="1"/>
  <c r="BF29" i="1"/>
  <c r="BD29" i="1"/>
  <c r="AX29" i="1"/>
  <c r="AP29" i="1"/>
  <c r="AO29" i="1"/>
  <c r="H29" i="1" s="1"/>
  <c r="AK29" i="1"/>
  <c r="AJ29" i="1"/>
  <c r="AS28" i="1" s="1"/>
  <c r="AH29" i="1"/>
  <c r="AG29" i="1"/>
  <c r="AF29" i="1"/>
  <c r="AC29" i="1"/>
  <c r="AB29" i="1"/>
  <c r="Z29" i="1"/>
  <c r="J29" i="1"/>
  <c r="AL29" i="1" s="1"/>
  <c r="I29" i="1"/>
  <c r="AT28" i="1"/>
  <c r="J28" i="1"/>
  <c r="BJ27" i="1"/>
  <c r="BF27" i="1"/>
  <c r="BD27" i="1"/>
  <c r="AW27" i="1"/>
  <c r="AP27" i="1"/>
  <c r="I27" i="1" s="1"/>
  <c r="I26" i="1" s="1"/>
  <c r="AO27" i="1"/>
  <c r="BH27" i="1" s="1"/>
  <c r="AB27" i="1" s="1"/>
  <c r="AK27" i="1"/>
  <c r="AT26" i="1" s="1"/>
  <c r="AJ27" i="1"/>
  <c r="AS26" i="1" s="1"/>
  <c r="AH27" i="1"/>
  <c r="AG27" i="1"/>
  <c r="AF27" i="1"/>
  <c r="AE27" i="1"/>
  <c r="AD27" i="1"/>
  <c r="Z27" i="1"/>
  <c r="J27" i="1"/>
  <c r="AL27" i="1" s="1"/>
  <c r="AU26" i="1" s="1"/>
  <c r="H27" i="1"/>
  <c r="H26" i="1" s="1"/>
  <c r="J26" i="1"/>
  <c r="BJ24" i="1"/>
  <c r="BH24" i="1"/>
  <c r="AB24" i="1" s="1"/>
  <c r="BF24" i="1"/>
  <c r="BD24" i="1"/>
  <c r="AX24" i="1"/>
  <c r="AV24" i="1" s="1"/>
  <c r="AP24" i="1"/>
  <c r="BI24" i="1" s="1"/>
  <c r="AC24" i="1" s="1"/>
  <c r="AO24" i="1"/>
  <c r="AW24" i="1" s="1"/>
  <c r="AL24" i="1"/>
  <c r="AK24" i="1"/>
  <c r="AT12" i="1" s="1"/>
  <c r="AJ24" i="1"/>
  <c r="AH24" i="1"/>
  <c r="AG24" i="1"/>
  <c r="AF24" i="1"/>
  <c r="AE24" i="1"/>
  <c r="AD24" i="1"/>
  <c r="Z24" i="1"/>
  <c r="J24" i="1"/>
  <c r="I24" i="1"/>
  <c r="H24" i="1"/>
  <c r="BJ21" i="1"/>
  <c r="BI21" i="1"/>
  <c r="AC21" i="1" s="1"/>
  <c r="BF21" i="1"/>
  <c r="BD21" i="1"/>
  <c r="AP21" i="1"/>
  <c r="AX21" i="1" s="1"/>
  <c r="AO21" i="1"/>
  <c r="AK21" i="1"/>
  <c r="AJ21" i="1"/>
  <c r="AH21" i="1"/>
  <c r="AG21" i="1"/>
  <c r="AF21" i="1"/>
  <c r="AE21" i="1"/>
  <c r="AD21" i="1"/>
  <c r="Z21" i="1"/>
  <c r="J21" i="1"/>
  <c r="AL21" i="1" s="1"/>
  <c r="I21" i="1"/>
  <c r="BJ17" i="1"/>
  <c r="BF17" i="1"/>
  <c r="BD17" i="1"/>
  <c r="AP17" i="1"/>
  <c r="AO17" i="1"/>
  <c r="AK17" i="1"/>
  <c r="AJ17" i="1"/>
  <c r="AH17" i="1"/>
  <c r="AG17" i="1"/>
  <c r="AF17" i="1"/>
  <c r="AE17" i="1"/>
  <c r="AD17" i="1"/>
  <c r="Z17" i="1"/>
  <c r="J17" i="1"/>
  <c r="BJ13" i="1"/>
  <c r="BH13" i="1"/>
  <c r="AB13" i="1" s="1"/>
  <c r="BF13" i="1"/>
  <c r="BD13" i="1"/>
  <c r="AW13" i="1"/>
  <c r="AP13" i="1"/>
  <c r="I13" i="1" s="1"/>
  <c r="AO13" i="1"/>
  <c r="AL13" i="1"/>
  <c r="AK13" i="1"/>
  <c r="AJ13" i="1"/>
  <c r="AH13" i="1"/>
  <c r="AG13" i="1"/>
  <c r="C19" i="2" s="1"/>
  <c r="AF13" i="1"/>
  <c r="AE13" i="1"/>
  <c r="AD13" i="1"/>
  <c r="Z13" i="1"/>
  <c r="J13" i="1"/>
  <c r="H13" i="1"/>
  <c r="AS12" i="1"/>
  <c r="AU1" i="1"/>
  <c r="AT1" i="1"/>
  <c r="AS1" i="1"/>
  <c r="AV34" i="1" l="1"/>
  <c r="BC34" i="1"/>
  <c r="BC24" i="1"/>
  <c r="AL17" i="1"/>
  <c r="J12" i="1"/>
  <c r="BI27" i="1"/>
  <c r="AC27" i="1" s="1"/>
  <c r="AW29" i="1"/>
  <c r="AV56" i="1"/>
  <c r="BC56" i="1"/>
  <c r="I45" i="3"/>
  <c r="I24" i="2" s="1"/>
  <c r="C18" i="2"/>
  <c r="C28" i="2"/>
  <c r="F28" i="2" s="1"/>
  <c r="BC27" i="1"/>
  <c r="AX43" i="1"/>
  <c r="BI43" i="1"/>
  <c r="AC43" i="1" s="1"/>
  <c r="AL46" i="1"/>
  <c r="AU42" i="1" s="1"/>
  <c r="J42" i="1"/>
  <c r="I61" i="1"/>
  <c r="I60" i="1" s="1"/>
  <c r="AX61" i="1"/>
  <c r="BI61" i="1"/>
  <c r="AL63" i="1"/>
  <c r="AU60" i="1" s="1"/>
  <c r="J60" i="1"/>
  <c r="AV74" i="1"/>
  <c r="BC74" i="1"/>
  <c r="AW40" i="1"/>
  <c r="H40" i="1"/>
  <c r="H63" i="1"/>
  <c r="H60" i="1" s="1"/>
  <c r="AW63" i="1"/>
  <c r="BH63" i="1"/>
  <c r="AX27" i="1"/>
  <c r="AV27" i="1" s="1"/>
  <c r="AX30" i="1"/>
  <c r="BI30" i="1"/>
  <c r="AE30" i="1" s="1"/>
  <c r="C17" i="2" s="1"/>
  <c r="AX38" i="1"/>
  <c r="AV38" i="1" s="1"/>
  <c r="I38" i="1"/>
  <c r="I28" i="1" s="1"/>
  <c r="AV66" i="1"/>
  <c r="BC66" i="1"/>
  <c r="AX13" i="1"/>
  <c r="BI13" i="1"/>
  <c r="AC13" i="1" s="1"/>
  <c r="H21" i="1"/>
  <c r="BH21" i="1"/>
  <c r="AB21" i="1" s="1"/>
  <c r="C14" i="2" s="1"/>
  <c r="C21" i="2"/>
  <c r="I17" i="1"/>
  <c r="I12" i="1" s="1"/>
  <c r="BI17" i="1"/>
  <c r="AC17" i="1" s="1"/>
  <c r="BH29" i="1"/>
  <c r="AD29" i="1" s="1"/>
  <c r="AW32" i="1"/>
  <c r="BH32" i="1"/>
  <c r="AD32" i="1" s="1"/>
  <c r="C16" i="2" s="1"/>
  <c r="H34" i="1"/>
  <c r="BH34" i="1"/>
  <c r="AD34" i="1" s="1"/>
  <c r="BC38" i="1"/>
  <c r="AV53" i="1"/>
  <c r="BC53" i="1"/>
  <c r="AV77" i="1"/>
  <c r="AU12" i="1"/>
  <c r="C29" i="2"/>
  <c r="F29" i="2" s="1"/>
  <c r="BH40" i="1"/>
  <c r="AD40" i="1" s="1"/>
  <c r="AW17" i="1"/>
  <c r="BH17" i="1"/>
  <c r="AB17" i="1" s="1"/>
  <c r="C20" i="2"/>
  <c r="C27" i="2"/>
  <c r="H17" i="1"/>
  <c r="H12" i="1" s="1"/>
  <c r="AX17" i="1"/>
  <c r="AW21" i="1"/>
  <c r="H32" i="1"/>
  <c r="H28" i="1" s="1"/>
  <c r="I32" i="1"/>
  <c r="BI32" i="1"/>
  <c r="AE32" i="1" s="1"/>
  <c r="H46" i="1"/>
  <c r="H42" i="1" s="1"/>
  <c r="AW46" i="1"/>
  <c r="BH46" i="1"/>
  <c r="AB46" i="1" s="1"/>
  <c r="AV68" i="1"/>
  <c r="BC68" i="1"/>
  <c r="BH77" i="1"/>
  <c r="I14" i="2"/>
  <c r="I22" i="2" s="1"/>
  <c r="BI46" i="1"/>
  <c r="AC46" i="1" s="1"/>
  <c r="BH49" i="1"/>
  <c r="AB49" i="1" s="1"/>
  <c r="BI63" i="1"/>
  <c r="BH65" i="1"/>
  <c r="BI77" i="1"/>
  <c r="AX63" i="1"/>
  <c r="AW65" i="1"/>
  <c r="J75" i="1"/>
  <c r="J72" i="1" s="1"/>
  <c r="AX77" i="1"/>
  <c r="BC77" i="1" s="1"/>
  <c r="C22" i="2" l="1"/>
  <c r="BC32" i="1"/>
  <c r="AV32" i="1"/>
  <c r="BC63" i="1"/>
  <c r="AV63" i="1"/>
  <c r="BC46" i="1"/>
  <c r="AV46" i="1"/>
  <c r="C15" i="2"/>
  <c r="BC29" i="1"/>
  <c r="AV29" i="1"/>
  <c r="AV13" i="1"/>
  <c r="BC13" i="1"/>
  <c r="AV30" i="1"/>
  <c r="BC30" i="1"/>
  <c r="BC43" i="1"/>
  <c r="AV43" i="1"/>
  <c r="BC40" i="1"/>
  <c r="AV40" i="1"/>
  <c r="BC61" i="1"/>
  <c r="AV61" i="1"/>
  <c r="J78" i="1"/>
  <c r="AV65" i="1"/>
  <c r="BC65" i="1"/>
  <c r="I28" i="2"/>
  <c r="I29" i="2" s="1"/>
  <c r="AV21" i="1"/>
  <c r="BC21" i="1"/>
  <c r="BC17" i="1"/>
  <c r="AV17" i="1"/>
</calcChain>
</file>

<file path=xl/sharedStrings.xml><?xml version="1.0" encoding="utf-8"?>
<sst xmlns="http://schemas.openxmlformats.org/spreadsheetml/2006/main" count="697" uniqueCount="262">
  <si>
    <t>Slepý stavební rozpočet</t>
  </si>
  <si>
    <t>Název stavby:</t>
  </si>
  <si>
    <t>REKONSTRUKCE PODHLEDU V TĚLOCVIČNĚ ZŠ T.G.MASARYKA</t>
  </si>
  <si>
    <t>Doba výstavby:</t>
  </si>
  <si>
    <t xml:space="preserve"> </t>
  </si>
  <si>
    <t>Objednatel:</t>
  </si>
  <si>
    <t>Město Ivančice</t>
  </si>
  <si>
    <t>Druh stavby:</t>
  </si>
  <si>
    <t>Stavební úpravy</t>
  </si>
  <si>
    <t>Začátek výstavby:</t>
  </si>
  <si>
    <t>24.03.2025</t>
  </si>
  <si>
    <t>Projektant:</t>
  </si>
  <si>
    <t>Tomáš Sýkora</t>
  </si>
  <si>
    <t>Lokalita:</t>
  </si>
  <si>
    <t>ZŠ TGM Ivančice, Na Brněnce 1, 664 91 Ivančice</t>
  </si>
  <si>
    <t>Konec výstavby:</t>
  </si>
  <si>
    <t>Zhotovitel:</t>
  </si>
  <si>
    <t> </t>
  </si>
  <si>
    <t>JKSO:</t>
  </si>
  <si>
    <t>8013219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</si>
  <si>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</si>
  <si>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</si>
  <si>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</si>
  <si>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</si>
  <si>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</si>
  <si>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</si>
  <si>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</si>
  <si>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</si>
  <si>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</si>
  <si>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</si>
  <si>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</si>
  <si>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</si>
  <si>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</si>
  <si>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</si>
  <si>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</si>
  <si>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</si>
  <si>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</si>
  <si>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</si>
  <si>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</si>
  <si>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</si>
  <si>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</si>
  <si>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</si>
  <si>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</si>
  <si>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</si>
  <si>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</si>
  <si>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</si>
  <si>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</si>
  <si>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</si>
  <si>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</si>
  <si>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</si>
  <si>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</si>
  <si>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</si>
  <si>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41</t>
  </si>
  <si>
    <t>Stropy a stropní konstrukce (pro pozemní stavby)</t>
  </si>
  <si>
    <t>1</t>
  </si>
  <si>
    <t>416051291VD1</t>
  </si>
  <si>
    <t>Podhled,2úr.oc.rošt,Rigiton RL12/25 Q tl.12,5,izol</t>
  </si>
  <si>
    <t>m2</t>
  </si>
  <si>
    <t>RTS II / 2024</t>
  </si>
  <si>
    <t>41_</t>
  </si>
  <si>
    <t>4_</t>
  </si>
  <si>
    <t>_</t>
  </si>
  <si>
    <t>Závěsy Nonius - 4 bodový, dvojitá závlačka, 
TI MW. Tl. 60 mm
Montážní R-CD profily á 200 mm (Odolnost bude třídy 1A dle ČSN EN 13964)</t>
  </si>
  <si>
    <t>RTS komentář:</t>
  </si>
  <si>
    <t xml:space="preserve">Akustické bezesparé podhledy Rigips, systém PK21, zavěšený ocelový dvouúrovňový rošt, 1x opláštěný, s minerální izolací, desky Rigiton RL 12/25 Q tl. 12,5mm 4.07.29 - </t>
  </si>
  <si>
    <t>Dokumentace:</t>
  </si>
  <si>
    <t>Viz výkresová část PD a TZ</t>
  </si>
  <si>
    <t>2</t>
  </si>
  <si>
    <t>416022121VD1</t>
  </si>
  <si>
    <t>Podhledy SDK,ocel.dvouúrov.křížový rošt,1x RB 12,5</t>
  </si>
  <si>
    <t>Podhledy sádrokartonové Rigips, systém PK21 odpovídá D112, zavěšený ocelový dvouúrovňový křížový rošt z profil CD, 1x opláštěný, s minerální izolací, desky standard RB (A) tl. 12,5mm 4.05.24</t>
  </si>
  <si>
    <t>3</t>
  </si>
  <si>
    <t>416091213VD1</t>
  </si>
  <si>
    <t>Úprava napojovací spáry SDK s jinou stavební konstrukcí pomocí typového řešení</t>
  </si>
  <si>
    <t>m</t>
  </si>
  <si>
    <t>viz det. NAPOJENÍ PODHLEDU NA STĚNU – VOLNÉ, 
SE STÍNOVOU SPÁROU A PRO?LEM R-UD M1:10</t>
  </si>
  <si>
    <t>4</t>
  </si>
  <si>
    <t>416091213VD2</t>
  </si>
  <si>
    <t>Úprava napojovací dilatační spáry SDK pomocí typového řešení</t>
  </si>
  <si>
    <t>61</t>
  </si>
  <si>
    <t>Úprava povrchů vnitřní</t>
  </si>
  <si>
    <t>5</t>
  </si>
  <si>
    <t>610991111R00</t>
  </si>
  <si>
    <t>Zakrývání výplní vnitřních otvorů</t>
  </si>
  <si>
    <t>61_</t>
  </si>
  <si>
    <t>6_</t>
  </si>
  <si>
    <t>784</t>
  </si>
  <si>
    <t>Malby</t>
  </si>
  <si>
    <t>6</t>
  </si>
  <si>
    <t>784422273R00</t>
  </si>
  <si>
    <t>Malba vápenná 2x, pačok 2x,1barva, místnost do 8 m</t>
  </si>
  <si>
    <t>7</t>
  </si>
  <si>
    <t>784_</t>
  </si>
  <si>
    <t>78_</t>
  </si>
  <si>
    <t>784011222RT2</t>
  </si>
  <si>
    <t>Zakrytí podlah, včetně odstranění</t>
  </si>
  <si>
    <t>včetně papírové lepenky</t>
  </si>
  <si>
    <t>8</t>
  </si>
  <si>
    <t>784011221RT2</t>
  </si>
  <si>
    <t>Zakrytí předmětů, včetně odstranění</t>
  </si>
  <si>
    <t>včetně dodávky fólie tl. 0,04 mm</t>
  </si>
  <si>
    <t>9</t>
  </si>
  <si>
    <t>784011222RT1</t>
  </si>
  <si>
    <t>materiál ve specifikaci</t>
  </si>
  <si>
    <t>10</t>
  </si>
  <si>
    <t>69366204</t>
  </si>
  <si>
    <t>Geotextilie netkaná GUTTATEX 500 g/m2</t>
  </si>
  <si>
    <t>Geotextilie z netkaného polyesteru ve pěti hmotnostních variantách.  Použití: Guttatex se používá jako nezbytná separační, ochranná, případně filtrační vrstva pro nejrůznější typy stavebních konstrukcí. Jsou to zejména: - základové konstrukce staveb - izolace a odvodnění staveb - střešní konstrukce plochých střech - konstrukce silnic, železnic, mostů a tunelů - stavby parkovišť, průmyslových a letištních ploch - zemní konstrukce, hráze, násypy, deponie a nádrže  Základní funkce geotextilie Guttatex: OCHRANA - schopnost adaptace na různé druhy hornin podloží, struktura textilie odolná proti mechanickému poškození předurčuje Guttatex k ochraně hlavní izolační vrstvy ve stavbě. FILTRACE A DRENÁŽ - díky rovnoměrnému rozložení pórů umožňuje Guttatex rovnoměrný průchod vody a zabraňuje pronikání pevných částic z podloží na stavební konstrukci. SEPARACE - vzhledem k masivní struktuře umožňuje Guttatex vytvoření funkční separační vrstvy oddělující jednotlivé části stavební konstrukce. Při použití v základových konstrukcích zabraňuje kontaminaci tekutého betonu zeminou.  Montáž: Guttatex se obvykle volně pokládá s přesahy cca 150-300 mm, přesahy je možno mechanicky spojovat. V závislosti na konkrétní aplikaci je možné případné kotvení do podkladu mechanicky nebo pomocí adhesních materiálů bez organických rozpouštědel</t>
  </si>
  <si>
    <t>11</t>
  </si>
  <si>
    <t>12</t>
  </si>
  <si>
    <t>60725014</t>
  </si>
  <si>
    <t>Deska dřevoštěpková OSB 3, Kronospan nebroušená tl. 18 mm</t>
  </si>
  <si>
    <t xml:space="preserve">OSB3 - konstrukční deska pro použití ve vlhkém prostředí  N - nebroušená strana  rozměr 2500 x 1250 mm </t>
  </si>
  <si>
    <t>94</t>
  </si>
  <si>
    <t>Lešení a stavební výtahy</t>
  </si>
  <si>
    <t>13</t>
  </si>
  <si>
    <t>946941102RT2</t>
  </si>
  <si>
    <t>Montáž pojízdných Alu věží BOSS, 2,5 x 1,45 m</t>
  </si>
  <si>
    <t>sada</t>
  </si>
  <si>
    <t>94_</t>
  </si>
  <si>
    <t>9_</t>
  </si>
  <si>
    <t>pracovní výška 6,2 m</t>
  </si>
  <si>
    <t xml:space="preserve">Položka je kalkulována pro montáž pojízdného lešení - Alu věž BOSS. </t>
  </si>
  <si>
    <t>14</t>
  </si>
  <si>
    <t>946941192RT2</t>
  </si>
  <si>
    <t>Nájemné pojízdných Alu věží BOSS, 2,5 x 1,45 m</t>
  </si>
  <si>
    <t>den</t>
  </si>
  <si>
    <t xml:space="preserve">Položka je kalkulována pro nájemné pojízdného lešení - Alu věž BOSS. </t>
  </si>
  <si>
    <t>15</t>
  </si>
  <si>
    <t>946941802RT2</t>
  </si>
  <si>
    <t>Demontáž pojízdných Alu věží BOSS, 2,5 x 1,45 m</t>
  </si>
  <si>
    <t>pracovní výška 6,3 m</t>
  </si>
  <si>
    <t xml:space="preserve">Položka je kalkulována pro demontáž pojízdného lešení - Alu věž BOSS. </t>
  </si>
  <si>
    <t>97</t>
  </si>
  <si>
    <t>Prorážení otvorů a ostatní bourací práce</t>
  </si>
  <si>
    <t>16</t>
  </si>
  <si>
    <t>97801219VD01</t>
  </si>
  <si>
    <t>Otlučení omítek vnitřních rabicových stropů do 100 %</t>
  </si>
  <si>
    <t>97_</t>
  </si>
  <si>
    <t>tl. do 40 mm</t>
  </si>
  <si>
    <t>V položce není kalkulována manipulace se sutí, která se oceňuje samostatně položkami souboru 979.</t>
  </si>
  <si>
    <t>17</t>
  </si>
  <si>
    <t>974054722R00</t>
  </si>
  <si>
    <t>Dodatečné vyřezání otvoru v SDK podhledu pl.0,5 m2</t>
  </si>
  <si>
    <t>kus</t>
  </si>
  <si>
    <t>Položka je určena pro dodatečné vyřezání otvoru v sádrokartonových deskách pro následné osazení např. osvětlení, VZT mřížek v podhledech šikmých a vodorovných na dřevěné i ocelové konstrukci.</t>
  </si>
  <si>
    <t>M001VD</t>
  </si>
  <si>
    <t>ELEKTRO</t>
  </si>
  <si>
    <t>18</t>
  </si>
  <si>
    <t>0010</t>
  </si>
  <si>
    <t>Projekt elektro - viz samostatný rozpočet</t>
  </si>
  <si>
    <t>ks</t>
  </si>
  <si>
    <t>vlastní</t>
  </si>
  <si>
    <t>M001VD_</t>
  </si>
  <si>
    <t>S</t>
  </si>
  <si>
    <t>Přesuny sutí</t>
  </si>
  <si>
    <t>19</t>
  </si>
  <si>
    <t>979011111R00</t>
  </si>
  <si>
    <t>Svislá doprava suti a vybour. hmot za 2.NP a 1.PP</t>
  </si>
  <si>
    <t>t</t>
  </si>
  <si>
    <t>S_</t>
  </si>
  <si>
    <t>Položka je určena pro dopravu suti a vybouraných hmot za prvé podlaží nad nebo pod základním podlažím. Svislá doprava suti ze základního podlaží se neoceňuje. Základním podlažím je zpravidla přízemí</t>
  </si>
  <si>
    <t>20</t>
  </si>
  <si>
    <t>979082111R00</t>
  </si>
  <si>
    <t>Vnitrostaveništní doprava suti do 10 m</t>
  </si>
  <si>
    <t>Včetně případného složení na staveništní deponii</t>
  </si>
  <si>
    <t>21</t>
  </si>
  <si>
    <t>979082121R00</t>
  </si>
  <si>
    <t>Příplatek k vnitrost. dopravě suti za dalších 5 m</t>
  </si>
  <si>
    <t>22</t>
  </si>
  <si>
    <t>979081111RT3</t>
  </si>
  <si>
    <t>Odvoz suti a vybour. hmot na skládku do 1 km</t>
  </si>
  <si>
    <t>kontejnerem 7 t</t>
  </si>
  <si>
    <t>23</t>
  </si>
  <si>
    <t>979081121RT3</t>
  </si>
  <si>
    <t>Příplatek k odvozu za každý další 1 km</t>
  </si>
  <si>
    <t>24</t>
  </si>
  <si>
    <t>979990107R00</t>
  </si>
  <si>
    <t>Poplatek za uložení suti - směs betonu, cihel, dřeva, skupina odpadu 170904</t>
  </si>
  <si>
    <t>FCC Česká republika, s.r.o., provozovna Žabčice  Líšeňská 35, 636 00  Brno Tel: +420 518 311 499, Fax: +420 518 311 499 Mobil: +420 602 240 639 e-mail: Jaroslav.Konecny@fcc-group.cz, www.fcc-group.e</t>
  </si>
  <si>
    <t>VORN</t>
  </si>
  <si>
    <t>Vedlejší a ostatní rozpočtové náklady</t>
  </si>
  <si>
    <t>02VRN</t>
  </si>
  <si>
    <t>Příprava staveniště</t>
  </si>
  <si>
    <t>25</t>
  </si>
  <si>
    <t>020001VRN</t>
  </si>
  <si>
    <t>Soubor</t>
  </si>
  <si>
    <t>99</t>
  </si>
  <si>
    <t>02VRN_</t>
  </si>
  <si>
    <t>Â _</t>
  </si>
  <si>
    <t>03VRN</t>
  </si>
  <si>
    <t>Zařízení staveniště</t>
  </si>
  <si>
    <t>26</t>
  </si>
  <si>
    <t>030001VRN</t>
  </si>
  <si>
    <t>03VRN_</t>
  </si>
  <si>
    <t>27</t>
  </si>
  <si>
    <t>039002VRN</t>
  </si>
  <si>
    <t>Odstranění zařízení staveniště</t>
  </si>
  <si>
    <t>Celkem:</t>
  </si>
  <si>
    <t>Poznámka:</t>
  </si>
  <si>
    <t>Krycí list slepého rozpočtu</t>
  </si>
  <si>
    <t>IČO/DIČ:</t>
  </si>
  <si>
    <t>00281859/CZ00281859</t>
  </si>
  <si>
    <t>73313190/CZ7712155616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</si>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</sst>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080C0"/>
      <name val="Arial"/>
      <family val="2"/>
      <charset val="238"/>
    </font>
    <font>
      <i/>
      <sz val="10"/>
      <color rgb="FF0080C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1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4" fontId="2" fillId="2" borderId="29" xfId="0" applyNumberFormat="1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4" fontId="3" fillId="0" borderId="32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11" fillId="0" borderId="40" xfId="0" applyFont="1" applyBorder="1" applyAlignment="1">
      <alignment horizontal="left" vertical="center"/>
    </xf>
    <xf numFmtId="0" fontId="12" fillId="0" borderId="41" xfId="0" applyFont="1" applyBorder="1" applyAlignment="1">
      <alignment horizontal="left" vertical="center"/>
    </xf>
    <xf numFmtId="4" fontId="12" fillId="0" borderId="41" xfId="0" applyNumberFormat="1" applyFont="1" applyBorder="1" applyAlignment="1">
      <alignment horizontal="right" vertical="center"/>
    </xf>
    <xf numFmtId="0" fontId="12" fillId="0" borderId="41" xfId="0" applyFont="1" applyBorder="1" applyAlignment="1">
      <alignment horizontal="right" vertical="center"/>
    </xf>
    <xf numFmtId="0" fontId="11" fillId="0" borderId="44" xfId="0" applyFont="1" applyBorder="1" applyAlignment="1">
      <alignment horizontal="left" vertical="center"/>
    </xf>
    <xf numFmtId="4" fontId="12" fillId="0" borderId="48" xfId="0" applyNumberFormat="1" applyFont="1" applyBorder="1" applyAlignment="1">
      <alignment horizontal="right" vertical="center"/>
    </xf>
    <xf numFmtId="0" fontId="12" fillId="0" borderId="48" xfId="0" applyFont="1" applyBorder="1" applyAlignment="1">
      <alignment horizontal="right" vertical="center"/>
    </xf>
    <xf numFmtId="4" fontId="12" fillId="0" borderId="39" xfId="0" applyNumberFormat="1" applyFont="1" applyBorder="1" applyAlignment="1">
      <alignment horizontal="right" vertical="center"/>
    </xf>
    <xf numFmtId="4" fontId="12" fillId="0" borderId="25" xfId="0" applyNumberFormat="1" applyFont="1" applyBorder="1" applyAlignment="1">
      <alignment horizontal="right" vertical="center"/>
    </xf>
    <xf numFmtId="4" fontId="11" fillId="2" borderId="38" xfId="0" applyNumberFormat="1" applyFont="1" applyFill="1" applyBorder="1" applyAlignment="1">
      <alignment horizontal="right" vertical="center"/>
    </xf>
    <xf numFmtId="4" fontId="11" fillId="2" borderId="43" xfId="0" applyNumberFormat="1" applyFont="1" applyFill="1" applyBorder="1" applyAlignment="1">
      <alignment horizontal="right" vertical="center"/>
    </xf>
    <xf numFmtId="0" fontId="7" fillId="0" borderId="29" xfId="0" applyFont="1" applyBorder="1" applyAlignment="1">
      <alignment horizontal="left" vertical="center"/>
    </xf>
    <xf numFmtId="0" fontId="2" fillId="0" borderId="64" xfId="0" applyFont="1" applyBorder="1" applyAlignment="1">
      <alignment horizontal="right" vertical="center"/>
    </xf>
    <xf numFmtId="4" fontId="3" fillId="0" borderId="41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left" vertical="center"/>
    </xf>
    <xf numFmtId="4" fontId="3" fillId="0" borderId="68" xfId="0" applyNumberFormat="1" applyFont="1" applyBorder="1" applyAlignment="1">
      <alignment horizontal="right" vertical="center"/>
    </xf>
    <xf numFmtId="0" fontId="3" fillId="0" borderId="68" xfId="0" applyFont="1" applyBorder="1" applyAlignment="1">
      <alignment horizontal="left" vertical="center"/>
    </xf>
    <xf numFmtId="0" fontId="2" fillId="0" borderId="72" xfId="0" applyFont="1" applyBorder="1" applyAlignment="1">
      <alignment horizontal="left" vertical="center"/>
    </xf>
    <xf numFmtId="0" fontId="2" fillId="0" borderId="72" xfId="0" applyFont="1" applyBorder="1" applyAlignment="1">
      <alignment horizontal="right" vertical="center"/>
    </xf>
    <xf numFmtId="4" fontId="2" fillId="0" borderId="72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12" fillId="0" borderId="5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58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1" xfId="0" applyFont="1" applyBorder="1" applyAlignment="1">
      <alignment horizontal="left" vertical="center"/>
    </xf>
    <xf numFmtId="0" fontId="12" fillId="0" borderId="62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57" xfId="0" applyFont="1" applyBorder="1" applyAlignment="1">
      <alignment horizontal="left" vertical="center"/>
    </xf>
    <xf numFmtId="0" fontId="12" fillId="0" borderId="60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1" fillId="0" borderId="43" xfId="0" applyFont="1" applyBorder="1" applyAlignment="1">
      <alignment horizontal="left" vertical="center"/>
    </xf>
    <xf numFmtId="0" fontId="11" fillId="2" borderId="50" xfId="0" applyFont="1" applyFill="1" applyBorder="1" applyAlignment="1">
      <alignment horizontal="left" vertical="center"/>
    </xf>
    <xf numFmtId="0" fontId="11" fillId="2" borderId="51" xfId="0" applyFont="1" applyFill="1" applyBorder="1" applyAlignment="1">
      <alignment horizontal="left" vertical="center"/>
    </xf>
    <xf numFmtId="0" fontId="11" fillId="2" borderId="45" xfId="0" applyFont="1" applyFill="1" applyBorder="1" applyAlignment="1">
      <alignment horizontal="left" vertical="center"/>
    </xf>
    <xf numFmtId="0" fontId="11" fillId="2" borderId="52" xfId="0" applyFont="1" applyFill="1" applyBorder="1" applyAlignment="1">
      <alignment horizontal="left" vertical="center"/>
    </xf>
    <xf numFmtId="0" fontId="11" fillId="2" borderId="37" xfId="0" applyFont="1" applyFill="1" applyBorder="1" applyAlignment="1">
      <alignment horizontal="left" vertical="center"/>
    </xf>
    <xf numFmtId="0" fontId="11" fillId="2" borderId="42" xfId="0" applyFont="1" applyFill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47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0" borderId="42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11" fillId="0" borderId="47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8" fillId="0" borderId="35" xfId="0" applyFont="1" applyBorder="1" applyAlignment="1">
      <alignment horizontal="center" vertical="center"/>
    </xf>
    <xf numFmtId="0" fontId="10" fillId="0" borderId="37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0" borderId="32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11" fillId="0" borderId="69" xfId="0" applyFont="1" applyBorder="1" applyAlignment="1">
      <alignment horizontal="left" vertical="center"/>
    </xf>
    <xf numFmtId="0" fontId="11" fillId="0" borderId="70" xfId="0" applyFont="1" applyBorder="1" applyAlignment="1">
      <alignment horizontal="left" vertical="center"/>
    </xf>
    <xf numFmtId="0" fontId="11" fillId="0" borderId="71" xfId="0" applyFont="1" applyBorder="1" applyAlignment="1">
      <alignment horizontal="left" vertical="center"/>
    </xf>
    <xf numFmtId="4" fontId="11" fillId="0" borderId="73" xfId="0" applyNumberFormat="1" applyFont="1" applyBorder="1" applyAlignment="1">
      <alignment horizontal="right" vertical="center"/>
    </xf>
    <xf numFmtId="0" fontId="11" fillId="0" borderId="70" xfId="0" applyFont="1" applyBorder="1" applyAlignment="1">
      <alignment horizontal="right" vertical="center"/>
    </xf>
    <xf numFmtId="0" fontId="11" fillId="0" borderId="71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workbookViewId="0">
      <selection activeCell="N8" sqref="N8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3" t="s">
        <v>200</v>
      </c>
      <c r="B1" s="114"/>
      <c r="C1" s="114"/>
      <c r="D1" s="114"/>
      <c r="E1" s="114"/>
      <c r="F1" s="114"/>
      <c r="G1" s="114"/>
      <c r="H1" s="114"/>
      <c r="I1" s="114"/>
    </row>
    <row r="2" spans="1:9" x14ac:dyDescent="0.25">
      <c r="A2" s="115" t="s">
        <v>1</v>
      </c>
      <c r="B2" s="116"/>
      <c r="C2" s="110" t="str">
        <f>'Stavební rozpočet'!C2</f>
        <v>REKONSTRUKCE PODHLEDU V TĚLOCVIČNĚ ZŠ T.G.MASARYKA</v>
      </c>
      <c r="D2" s="111"/>
      <c r="E2" s="107" t="s">
        <v>5</v>
      </c>
      <c r="F2" s="107" t="str">
        <f>'Stavební rozpočet'!I2</f>
        <v>Město Ivančice</v>
      </c>
      <c r="G2" s="116"/>
      <c r="H2" s="107" t="s">
        <v>201</v>
      </c>
      <c r="I2" s="118" t="s">
        <v>202</v>
      </c>
    </row>
    <row r="3" spans="1:9" ht="15" customHeight="1" x14ac:dyDescent="0.25">
      <c r="A3" s="117"/>
      <c r="B3" s="70"/>
      <c r="C3" s="112"/>
      <c r="D3" s="112"/>
      <c r="E3" s="70"/>
      <c r="F3" s="70"/>
      <c r="G3" s="70"/>
      <c r="H3" s="70"/>
      <c r="I3" s="119"/>
    </row>
    <row r="4" spans="1:9" x14ac:dyDescent="0.25">
      <c r="A4" s="108" t="s">
        <v>7</v>
      </c>
      <c r="B4" s="70"/>
      <c r="C4" s="69" t="str">
        <f>'Stavební rozpočet'!C4</f>
        <v>Stavební úpravy</v>
      </c>
      <c r="D4" s="70"/>
      <c r="E4" s="69" t="s">
        <v>11</v>
      </c>
      <c r="F4" s="69" t="str">
        <f>'Stavební rozpočet'!I4</f>
        <v>Tomáš Sýkora</v>
      </c>
      <c r="G4" s="70"/>
      <c r="H4" s="69" t="s">
        <v>201</v>
      </c>
      <c r="I4" s="119" t="s">
        <v>203</v>
      </c>
    </row>
    <row r="5" spans="1:9" ht="15" customHeight="1" x14ac:dyDescent="0.25">
      <c r="A5" s="117"/>
      <c r="B5" s="70"/>
      <c r="C5" s="70"/>
      <c r="D5" s="70"/>
      <c r="E5" s="70"/>
      <c r="F5" s="70"/>
      <c r="G5" s="70"/>
      <c r="H5" s="70"/>
      <c r="I5" s="119"/>
    </row>
    <row r="6" spans="1:9" x14ac:dyDescent="0.25">
      <c r="A6" s="108" t="s">
        <v>13</v>
      </c>
      <c r="B6" s="70"/>
      <c r="C6" s="69" t="str">
        <f>'Stavební rozpočet'!C6</f>
        <v>ZŠ TGM Ivančice, Na Brněnce 1, 664 91 Ivančice</v>
      </c>
      <c r="D6" s="70"/>
      <c r="E6" s="69" t="s">
        <v>16</v>
      </c>
      <c r="F6" s="69" t="str">
        <f>'Stavební rozpočet'!I6</f>
        <v> </v>
      </c>
      <c r="G6" s="70"/>
      <c r="H6" s="69" t="s">
        <v>201</v>
      </c>
      <c r="I6" s="119" t="s">
        <v>51</v>
      </c>
    </row>
    <row r="7" spans="1:9" ht="15" customHeight="1" x14ac:dyDescent="0.25">
      <c r="A7" s="117"/>
      <c r="B7" s="70"/>
      <c r="C7" s="70"/>
      <c r="D7" s="70"/>
      <c r="E7" s="70"/>
      <c r="F7" s="70"/>
      <c r="G7" s="70"/>
      <c r="H7" s="70"/>
      <c r="I7" s="119"/>
    </row>
    <row r="8" spans="1:9" x14ac:dyDescent="0.25">
      <c r="A8" s="108" t="s">
        <v>9</v>
      </c>
      <c r="B8" s="70"/>
      <c r="C8" s="69"/>
      <c r="D8" s="70"/>
      <c r="E8" s="69" t="s">
        <v>15</v>
      </c>
      <c r="F8" s="69" t="str">
        <f>'Stavební rozpočet'!G6</f>
        <v xml:space="preserve"> </v>
      </c>
      <c r="G8" s="70"/>
      <c r="H8" s="70" t="s">
        <v>204</v>
      </c>
      <c r="I8" s="120">
        <v>27</v>
      </c>
    </row>
    <row r="9" spans="1:9" x14ac:dyDescent="0.25">
      <c r="A9" s="117"/>
      <c r="B9" s="70"/>
      <c r="C9" s="70"/>
      <c r="D9" s="70"/>
      <c r="E9" s="70"/>
      <c r="F9" s="70"/>
      <c r="G9" s="70"/>
      <c r="H9" s="70"/>
      <c r="I9" s="119"/>
    </row>
    <row r="10" spans="1:9" x14ac:dyDescent="0.25">
      <c r="A10" s="108" t="s">
        <v>18</v>
      </c>
      <c r="B10" s="70"/>
      <c r="C10" s="69" t="str">
        <f>'Stavební rozpočet'!C8</f>
        <v>8013219</v>
      </c>
      <c r="D10" s="70"/>
      <c r="E10" s="69" t="s">
        <v>21</v>
      </c>
      <c r="F10" s="69"/>
      <c r="G10" s="70"/>
      <c r="H10" s="70" t="s">
        <v>205</v>
      </c>
      <c r="I10" s="101"/>
    </row>
    <row r="11" spans="1:9" x14ac:dyDescent="0.25">
      <c r="A11" s="109"/>
      <c r="B11" s="106"/>
      <c r="C11" s="106"/>
      <c r="D11" s="106"/>
      <c r="E11" s="106"/>
      <c r="F11" s="106"/>
      <c r="G11" s="106"/>
      <c r="H11" s="106"/>
      <c r="I11" s="102"/>
    </row>
    <row r="12" spans="1:9" ht="23.25" x14ac:dyDescent="0.25">
      <c r="A12" s="103" t="s">
        <v>206</v>
      </c>
      <c r="B12" s="103"/>
      <c r="C12" s="103"/>
      <c r="D12" s="103"/>
      <c r="E12" s="103"/>
      <c r="F12" s="103"/>
      <c r="G12" s="103"/>
      <c r="H12" s="103"/>
      <c r="I12" s="103"/>
    </row>
    <row r="13" spans="1:9" ht="26.25" customHeight="1" x14ac:dyDescent="0.25">
      <c r="A13" s="47" t="s">
        <v>207</v>
      </c>
      <c r="B13" s="104" t="s">
        <v>208</v>
      </c>
      <c r="C13" s="105"/>
      <c r="D13" s="48" t="s">
        <v>209</v>
      </c>
      <c r="E13" s="104" t="s">
        <v>210</v>
      </c>
      <c r="F13" s="105"/>
      <c r="G13" s="48" t="s">
        <v>211</v>
      </c>
      <c r="H13" s="104" t="s">
        <v>212</v>
      </c>
      <c r="I13" s="105"/>
    </row>
    <row r="14" spans="1:9" ht="15.75" x14ac:dyDescent="0.25">
      <c r="A14" s="49" t="s">
        <v>213</v>
      </c>
      <c r="B14" s="50" t="s">
        <v>214</v>
      </c>
      <c r="C14" s="51">
        <f>SUM('Stavební rozpočet'!AB12:AB77)</f>
        <v>0</v>
      </c>
      <c r="D14" s="91" t="s">
        <v>215</v>
      </c>
      <c r="E14" s="92"/>
      <c r="F14" s="51">
        <f>VORN!I15</f>
        <v>0</v>
      </c>
      <c r="G14" s="91" t="s">
        <v>191</v>
      </c>
      <c r="H14" s="92"/>
      <c r="I14" s="52">
        <f>VORN!I21</f>
        <v>0</v>
      </c>
    </row>
    <row r="15" spans="1:9" ht="15.75" x14ac:dyDescent="0.25">
      <c r="A15" s="53" t="s">
        <v>51</v>
      </c>
      <c r="B15" s="50" t="s">
        <v>36</v>
      </c>
      <c r="C15" s="51">
        <f>SUM('Stavební rozpočet'!AC12:AC77)</f>
        <v>0</v>
      </c>
      <c r="D15" s="91" t="s">
        <v>216</v>
      </c>
      <c r="E15" s="92"/>
      <c r="F15" s="51">
        <f>VORN!I16</f>
        <v>0</v>
      </c>
      <c r="G15" s="91" t="s">
        <v>217</v>
      </c>
      <c r="H15" s="92"/>
      <c r="I15" s="52">
        <f>VORN!I22</f>
        <v>0</v>
      </c>
    </row>
    <row r="16" spans="1:9" ht="15.75" x14ac:dyDescent="0.25">
      <c r="A16" s="49" t="s">
        <v>218</v>
      </c>
      <c r="B16" s="50" t="s">
        <v>214</v>
      </c>
      <c r="C16" s="51">
        <f>SUM('Stavební rozpočet'!AD12:AD77)</f>
        <v>0</v>
      </c>
      <c r="D16" s="91" t="s">
        <v>219</v>
      </c>
      <c r="E16" s="92"/>
      <c r="F16" s="51">
        <f>VORN!I17</f>
        <v>0</v>
      </c>
      <c r="G16" s="91" t="s">
        <v>220</v>
      </c>
      <c r="H16" s="92"/>
      <c r="I16" s="52">
        <f>VORN!I23</f>
        <v>0</v>
      </c>
    </row>
    <row r="17" spans="1:9" ht="15.75" x14ac:dyDescent="0.25">
      <c r="A17" s="53" t="s">
        <v>51</v>
      </c>
      <c r="B17" s="50" t="s">
        <v>36</v>
      </c>
      <c r="C17" s="51">
        <f>SUM('Stavební rozpočet'!AE12:AE77)</f>
        <v>0</v>
      </c>
      <c r="D17" s="91" t="s">
        <v>51</v>
      </c>
      <c r="E17" s="92"/>
      <c r="F17" s="52" t="s">
        <v>51</v>
      </c>
      <c r="G17" s="91" t="s">
        <v>221</v>
      </c>
      <c r="H17" s="92"/>
      <c r="I17" s="52">
        <f>VORN!I24</f>
        <v>0</v>
      </c>
    </row>
    <row r="18" spans="1:9" ht="15.75" x14ac:dyDescent="0.25">
      <c r="A18" s="49" t="s">
        <v>222</v>
      </c>
      <c r="B18" s="50" t="s">
        <v>214</v>
      </c>
      <c r="C18" s="51">
        <f>SUM('Stavební rozpočet'!AF12:AF77)</f>
        <v>0</v>
      </c>
      <c r="D18" s="91" t="s">
        <v>51</v>
      </c>
      <c r="E18" s="92"/>
      <c r="F18" s="52" t="s">
        <v>51</v>
      </c>
      <c r="G18" s="91" t="s">
        <v>223</v>
      </c>
      <c r="H18" s="92"/>
      <c r="I18" s="52">
        <f>VORN!I25</f>
        <v>0</v>
      </c>
    </row>
    <row r="19" spans="1:9" ht="15.75" x14ac:dyDescent="0.25">
      <c r="A19" s="53" t="s">
        <v>51</v>
      </c>
      <c r="B19" s="50" t="s">
        <v>36</v>
      </c>
      <c r="C19" s="51">
        <f>SUM('Stavební rozpočet'!AG12:AG77)</f>
        <v>0</v>
      </c>
      <c r="D19" s="91" t="s">
        <v>51</v>
      </c>
      <c r="E19" s="92"/>
      <c r="F19" s="52" t="s">
        <v>51</v>
      </c>
      <c r="G19" s="91" t="s">
        <v>224</v>
      </c>
      <c r="H19" s="92"/>
      <c r="I19" s="52">
        <f>VORN!I26</f>
        <v>0</v>
      </c>
    </row>
    <row r="20" spans="1:9" ht="15.75" x14ac:dyDescent="0.25">
      <c r="A20" s="83" t="s">
        <v>225</v>
      </c>
      <c r="B20" s="84"/>
      <c r="C20" s="51">
        <f>SUM('Stavební rozpočet'!AH12:AH77)</f>
        <v>0</v>
      </c>
      <c r="D20" s="91" t="s">
        <v>51</v>
      </c>
      <c r="E20" s="92"/>
      <c r="F20" s="52" t="s">
        <v>51</v>
      </c>
      <c r="G20" s="91" t="s">
        <v>51</v>
      </c>
      <c r="H20" s="92"/>
      <c r="I20" s="52" t="s">
        <v>51</v>
      </c>
    </row>
    <row r="21" spans="1:9" ht="15.75" x14ac:dyDescent="0.25">
      <c r="A21" s="98" t="s">
        <v>226</v>
      </c>
      <c r="B21" s="99"/>
      <c r="C21" s="54">
        <f>SUM('Stavební rozpočet'!Z12:Z77)</f>
        <v>0</v>
      </c>
      <c r="D21" s="93" t="s">
        <v>51</v>
      </c>
      <c r="E21" s="94"/>
      <c r="F21" s="55" t="s">
        <v>51</v>
      </c>
      <c r="G21" s="93" t="s">
        <v>51</v>
      </c>
      <c r="H21" s="94"/>
      <c r="I21" s="55" t="s">
        <v>51</v>
      </c>
    </row>
    <row r="22" spans="1:9" ht="16.5" customHeight="1" x14ac:dyDescent="0.25">
      <c r="A22" s="100" t="s">
        <v>227</v>
      </c>
      <c r="B22" s="96"/>
      <c r="C22" s="56">
        <f>ROUND(SUM(C14:C21),2)</f>
        <v>0</v>
      </c>
      <c r="D22" s="95" t="s">
        <v>228</v>
      </c>
      <c r="E22" s="96"/>
      <c r="F22" s="56">
        <f>SUM(F14:F21)</f>
        <v>0</v>
      </c>
      <c r="G22" s="95" t="s">
        <v>229</v>
      </c>
      <c r="H22" s="96"/>
      <c r="I22" s="56">
        <f>SUM(I14:I21)</f>
        <v>0</v>
      </c>
    </row>
    <row r="23" spans="1:9" ht="15.75" x14ac:dyDescent="0.25">
      <c r="D23" s="83" t="s">
        <v>230</v>
      </c>
      <c r="E23" s="84"/>
      <c r="F23" s="57">
        <v>0</v>
      </c>
      <c r="G23" s="97" t="s">
        <v>231</v>
      </c>
      <c r="H23" s="84"/>
      <c r="I23" s="51">
        <v>0</v>
      </c>
    </row>
    <row r="24" spans="1:9" ht="15.75" x14ac:dyDescent="0.25">
      <c r="G24" s="83" t="s">
        <v>232</v>
      </c>
      <c r="H24" s="84"/>
      <c r="I24" s="54">
        <f>vorn_sum</f>
        <v>0</v>
      </c>
    </row>
    <row r="25" spans="1:9" ht="15.75" x14ac:dyDescent="0.25">
      <c r="G25" s="83" t="s">
        <v>233</v>
      </c>
      <c r="H25" s="84"/>
      <c r="I25" s="56">
        <v>0</v>
      </c>
    </row>
    <row r="27" spans="1:9" ht="15.75" x14ac:dyDescent="0.25">
      <c r="A27" s="85" t="s">
        <v>234</v>
      </c>
      <c r="B27" s="86"/>
      <c r="C27" s="58">
        <f>ROUND(SUM('Stavební rozpočet'!AJ12:AJ77),2)</f>
        <v>0</v>
      </c>
    </row>
    <row r="28" spans="1:9" ht="15.75" x14ac:dyDescent="0.25">
      <c r="A28" s="87" t="s">
        <v>235</v>
      </c>
      <c r="B28" s="88"/>
      <c r="C28" s="59">
        <f>ROUND(SUM('Stavební rozpočet'!AK12:AK77),2)</f>
        <v>0</v>
      </c>
      <c r="D28" s="89" t="s">
        <v>236</v>
      </c>
      <c r="E28" s="86"/>
      <c r="F28" s="58">
        <f>ROUND(C28*(12/100),2)</f>
        <v>0</v>
      </c>
      <c r="G28" s="89" t="s">
        <v>237</v>
      </c>
      <c r="H28" s="86"/>
      <c r="I28" s="58">
        <f>ROUND(SUM(C27:C29),2)</f>
        <v>0</v>
      </c>
    </row>
    <row r="29" spans="1:9" ht="15.75" x14ac:dyDescent="0.25">
      <c r="A29" s="87" t="s">
        <v>238</v>
      </c>
      <c r="B29" s="88"/>
      <c r="C29" s="59">
        <f>ROUND(SUM('Stavební rozpočet'!AL12:AL77),2)</f>
        <v>0</v>
      </c>
      <c r="D29" s="90" t="s">
        <v>239</v>
      </c>
      <c r="E29" s="88"/>
      <c r="F29" s="59">
        <f>ROUND(C29*(21/100),2)</f>
        <v>0</v>
      </c>
      <c r="G29" s="90" t="s">
        <v>240</v>
      </c>
      <c r="H29" s="88"/>
      <c r="I29" s="59">
        <f>ROUND(SUM(F28:F29)+I28,2)</f>
        <v>0</v>
      </c>
    </row>
    <row r="31" spans="1:9" x14ac:dyDescent="0.25">
      <c r="A31" s="80" t="s">
        <v>241</v>
      </c>
      <c r="B31" s="72"/>
      <c r="C31" s="73"/>
      <c r="D31" s="71" t="s">
        <v>242</v>
      </c>
      <c r="E31" s="72"/>
      <c r="F31" s="73"/>
      <c r="G31" s="71" t="s">
        <v>243</v>
      </c>
      <c r="H31" s="72"/>
      <c r="I31" s="73"/>
    </row>
    <row r="32" spans="1:9" x14ac:dyDescent="0.25">
      <c r="A32" s="81" t="s">
        <v>51</v>
      </c>
      <c r="B32" s="75"/>
      <c r="C32" s="76"/>
      <c r="D32" s="74" t="s">
        <v>51</v>
      </c>
      <c r="E32" s="75"/>
      <c r="F32" s="76"/>
      <c r="G32" s="74" t="s">
        <v>51</v>
      </c>
      <c r="H32" s="75"/>
      <c r="I32" s="76"/>
    </row>
    <row r="33" spans="1:9" x14ac:dyDescent="0.25">
      <c r="A33" s="81" t="s">
        <v>51</v>
      </c>
      <c r="B33" s="75"/>
      <c r="C33" s="76"/>
      <c r="D33" s="74" t="s">
        <v>51</v>
      </c>
      <c r="E33" s="75"/>
      <c r="F33" s="76"/>
      <c r="G33" s="74" t="s">
        <v>51</v>
      </c>
      <c r="H33" s="75"/>
      <c r="I33" s="76"/>
    </row>
    <row r="34" spans="1:9" x14ac:dyDescent="0.25">
      <c r="A34" s="81" t="s">
        <v>51</v>
      </c>
      <c r="B34" s="75"/>
      <c r="C34" s="76"/>
      <c r="D34" s="74" t="s">
        <v>51</v>
      </c>
      <c r="E34" s="75"/>
      <c r="F34" s="76"/>
      <c r="G34" s="74" t="s">
        <v>51</v>
      </c>
      <c r="H34" s="75"/>
      <c r="I34" s="76"/>
    </row>
    <row r="35" spans="1:9" x14ac:dyDescent="0.25">
      <c r="A35" s="82" t="s">
        <v>244</v>
      </c>
      <c r="B35" s="78"/>
      <c r="C35" s="79"/>
      <c r="D35" s="77" t="s">
        <v>244</v>
      </c>
      <c r="E35" s="78"/>
      <c r="F35" s="79"/>
      <c r="G35" s="77" t="s">
        <v>244</v>
      </c>
      <c r="H35" s="78"/>
      <c r="I35" s="79"/>
    </row>
    <row r="36" spans="1:9" x14ac:dyDescent="0.25">
      <c r="A36" s="60" t="s">
        <v>199</v>
      </c>
    </row>
    <row r="37" spans="1:9" ht="12.75" customHeight="1" x14ac:dyDescent="0.25">
      <c r="A37" s="69" t="s">
        <v>51</v>
      </c>
      <c r="B37" s="70"/>
      <c r="C37" s="70"/>
      <c r="D37" s="70"/>
      <c r="E37" s="70"/>
      <c r="F37" s="70"/>
      <c r="G37" s="70"/>
      <c r="H37" s="70"/>
      <c r="I37" s="70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0"/>
  <sheetViews>
    <sheetView workbookViewId="0">
      <pane ySplit="11" topLeftCell="A12" activePane="bottomLeft" state="frozen"/>
      <selection pane="bottomLeft" activeCell="A80" sqref="A80:K80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15" t="s">
        <v>1</v>
      </c>
      <c r="B2" s="116"/>
      <c r="C2" s="110" t="s">
        <v>2</v>
      </c>
      <c r="D2" s="111"/>
      <c r="E2" s="116" t="s">
        <v>3</v>
      </c>
      <c r="F2" s="116"/>
      <c r="G2" s="116" t="s">
        <v>4</v>
      </c>
      <c r="H2" s="107" t="s">
        <v>5</v>
      </c>
      <c r="I2" s="107" t="s">
        <v>6</v>
      </c>
      <c r="J2" s="116"/>
      <c r="K2" s="118"/>
    </row>
    <row r="3" spans="1:76" x14ac:dyDescent="0.25">
      <c r="A3" s="117"/>
      <c r="B3" s="70"/>
      <c r="C3" s="112"/>
      <c r="D3" s="112"/>
      <c r="E3" s="70"/>
      <c r="F3" s="70"/>
      <c r="G3" s="70"/>
      <c r="H3" s="70"/>
      <c r="I3" s="70"/>
      <c r="J3" s="70"/>
      <c r="K3" s="119"/>
    </row>
    <row r="4" spans="1:76" x14ac:dyDescent="0.25">
      <c r="A4" s="108" t="s">
        <v>7</v>
      </c>
      <c r="B4" s="70"/>
      <c r="C4" s="69" t="s">
        <v>8</v>
      </c>
      <c r="D4" s="70"/>
      <c r="E4" s="70" t="s">
        <v>9</v>
      </c>
      <c r="F4" s="70"/>
      <c r="G4" s="70" t="s">
        <v>10</v>
      </c>
      <c r="H4" s="69" t="s">
        <v>11</v>
      </c>
      <c r="I4" s="69" t="s">
        <v>12</v>
      </c>
      <c r="J4" s="70"/>
      <c r="K4" s="119"/>
    </row>
    <row r="5" spans="1:76" x14ac:dyDescent="0.25">
      <c r="A5" s="117"/>
      <c r="B5" s="70"/>
      <c r="C5" s="70"/>
      <c r="D5" s="70"/>
      <c r="E5" s="70"/>
      <c r="F5" s="70"/>
      <c r="G5" s="70"/>
      <c r="H5" s="70"/>
      <c r="I5" s="70"/>
      <c r="J5" s="70"/>
      <c r="K5" s="119"/>
    </row>
    <row r="6" spans="1:76" x14ac:dyDescent="0.25">
      <c r="A6" s="108" t="s">
        <v>13</v>
      </c>
      <c r="B6" s="70"/>
      <c r="C6" s="69" t="s">
        <v>14</v>
      </c>
      <c r="D6" s="70"/>
      <c r="E6" s="70" t="s">
        <v>15</v>
      </c>
      <c r="F6" s="70"/>
      <c r="G6" s="70" t="s">
        <v>4</v>
      </c>
      <c r="H6" s="69" t="s">
        <v>16</v>
      </c>
      <c r="I6" s="70" t="s">
        <v>17</v>
      </c>
      <c r="J6" s="70"/>
      <c r="K6" s="119"/>
    </row>
    <row r="7" spans="1:76" x14ac:dyDescent="0.25">
      <c r="A7" s="117"/>
      <c r="B7" s="70"/>
      <c r="C7" s="70"/>
      <c r="D7" s="70"/>
      <c r="E7" s="70"/>
      <c r="F7" s="70"/>
      <c r="G7" s="70"/>
      <c r="H7" s="70"/>
      <c r="I7" s="70"/>
      <c r="J7" s="70"/>
      <c r="K7" s="119"/>
    </row>
    <row r="8" spans="1:76" x14ac:dyDescent="0.25">
      <c r="A8" s="108" t="s">
        <v>18</v>
      </c>
      <c r="B8" s="70"/>
      <c r="C8" s="69" t="s">
        <v>19</v>
      </c>
      <c r="D8" s="70"/>
      <c r="E8" s="70" t="s">
        <v>20</v>
      </c>
      <c r="F8" s="70"/>
      <c r="G8" s="70" t="s">
        <v>10</v>
      </c>
      <c r="H8" s="69" t="s">
        <v>21</v>
      </c>
      <c r="I8" s="69" t="s">
        <v>12</v>
      </c>
      <c r="J8" s="70"/>
      <c r="K8" s="119"/>
    </row>
    <row r="9" spans="1:76" x14ac:dyDescent="0.25">
      <c r="A9" s="141"/>
      <c r="B9" s="137"/>
      <c r="C9" s="137"/>
      <c r="D9" s="137"/>
      <c r="E9" s="137"/>
      <c r="F9" s="137"/>
      <c r="G9" s="137"/>
      <c r="H9" s="137"/>
      <c r="I9" s="137"/>
      <c r="J9" s="137"/>
      <c r="K9" s="138"/>
    </row>
    <row r="10" spans="1:76" x14ac:dyDescent="0.25">
      <c r="A10" s="5" t="s">
        <v>22</v>
      </c>
      <c r="B10" s="6" t="s">
        <v>23</v>
      </c>
      <c r="C10" s="139" t="s">
        <v>24</v>
      </c>
      <c r="D10" s="140"/>
      <c r="E10" s="6" t="s">
        <v>25</v>
      </c>
      <c r="F10" s="7" t="s">
        <v>26</v>
      </c>
      <c r="G10" s="8" t="s">
        <v>27</v>
      </c>
      <c r="H10" s="132" t="s">
        <v>28</v>
      </c>
      <c r="I10" s="133"/>
      <c r="J10" s="134"/>
      <c r="K10" s="9" t="s">
        <v>29</v>
      </c>
      <c r="BK10" s="10" t="s">
        <v>30</v>
      </c>
      <c r="BL10" s="11" t="s">
        <v>31</v>
      </c>
      <c r="BW10" s="11" t="s">
        <v>32</v>
      </c>
    </row>
    <row r="11" spans="1:76" x14ac:dyDescent="0.25">
      <c r="A11" s="12" t="s">
        <v>4</v>
      </c>
      <c r="B11" s="13" t="s">
        <v>4</v>
      </c>
      <c r="C11" s="130" t="s">
        <v>33</v>
      </c>
      <c r="D11" s="131"/>
      <c r="E11" s="13" t="s">
        <v>4</v>
      </c>
      <c r="F11" s="13" t="s">
        <v>4</v>
      </c>
      <c r="G11" s="14" t="s">
        <v>34</v>
      </c>
      <c r="H11" s="15" t="s">
        <v>35</v>
      </c>
      <c r="I11" s="16" t="s">
        <v>36</v>
      </c>
      <c r="J11" s="17" t="s">
        <v>37</v>
      </c>
      <c r="K11" s="18" t="s">
        <v>38</v>
      </c>
      <c r="Z11" s="10" t="s">
        <v>39</v>
      </c>
      <c r="AA11" s="10" t="s">
        <v>40</v>
      </c>
      <c r="AB11" s="10" t="s">
        <v>41</v>
      </c>
      <c r="AC11" s="10" t="s">
        <v>42</v>
      </c>
      <c r="AD11" s="10" t="s">
        <v>43</v>
      </c>
      <c r="AE11" s="10" t="s">
        <v>44</v>
      </c>
      <c r="AF11" s="10" t="s">
        <v>45</v>
      </c>
      <c r="AG11" s="10" t="s">
        <v>46</v>
      </c>
      <c r="AH11" s="10" t="s">
        <v>47</v>
      </c>
      <c r="BH11" s="10" t="s">
        <v>48</v>
      </c>
      <c r="BI11" s="10" t="s">
        <v>49</v>
      </c>
      <c r="BJ11" s="10" t="s">
        <v>50</v>
      </c>
    </row>
    <row r="12" spans="1:76" x14ac:dyDescent="0.25">
      <c r="A12" s="19" t="s">
        <v>51</v>
      </c>
      <c r="B12" s="20" t="s">
        <v>52</v>
      </c>
      <c r="C12" s="135" t="s">
        <v>53</v>
      </c>
      <c r="D12" s="136"/>
      <c r="E12" s="21" t="s">
        <v>4</v>
      </c>
      <c r="F12" s="21" t="s">
        <v>4</v>
      </c>
      <c r="G12" s="21" t="s">
        <v>4</v>
      </c>
      <c r="H12" s="22">
        <f>SUM(H13:H24)</f>
        <v>0</v>
      </c>
      <c r="I12" s="22">
        <f>SUM(I13:I24)</f>
        <v>0</v>
      </c>
      <c r="J12" s="22">
        <f>SUM(J13:J24)</f>
        <v>0</v>
      </c>
      <c r="K12" s="23" t="s">
        <v>51</v>
      </c>
      <c r="AI12" s="10" t="s">
        <v>51</v>
      </c>
      <c r="AS12" s="1">
        <f>SUM(AJ13:AJ24)</f>
        <v>0</v>
      </c>
      <c r="AT12" s="1">
        <f>SUM(AK13:AK24)</f>
        <v>0</v>
      </c>
      <c r="AU12" s="1">
        <f>SUM(AL13:AL24)</f>
        <v>0</v>
      </c>
    </row>
    <row r="13" spans="1:76" x14ac:dyDescent="0.25">
      <c r="A13" s="2" t="s">
        <v>54</v>
      </c>
      <c r="B13" s="3" t="s">
        <v>55</v>
      </c>
      <c r="C13" s="69" t="s">
        <v>56</v>
      </c>
      <c r="D13" s="70"/>
      <c r="E13" s="3" t="s">
        <v>57</v>
      </c>
      <c r="F13" s="24">
        <v>122.4</v>
      </c>
      <c r="G13" s="24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58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G13*0.492700771</f>
        <v>0</v>
      </c>
      <c r="AP13" s="24">
        <f>G13*(1-0.492700771)</f>
        <v>0</v>
      </c>
      <c r="AQ13" s="26" t="s">
        <v>54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59</v>
      </c>
      <c r="AZ13" s="26" t="s">
        <v>60</v>
      </c>
      <c r="BA13" s="10" t="s">
        <v>61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41</v>
      </c>
      <c r="BW13" s="24">
        <v>21</v>
      </c>
      <c r="BX13" s="4" t="s">
        <v>56</v>
      </c>
    </row>
    <row r="14" spans="1:76" ht="40.5" customHeight="1" x14ac:dyDescent="0.25">
      <c r="A14" s="27"/>
      <c r="C14" s="125" t="s">
        <v>62</v>
      </c>
      <c r="D14" s="126"/>
      <c r="E14" s="126"/>
      <c r="F14" s="126"/>
      <c r="G14" s="126"/>
      <c r="H14" s="126"/>
      <c r="I14" s="126"/>
      <c r="J14" s="126"/>
      <c r="K14" s="127"/>
    </row>
    <row r="15" spans="1:76" ht="38.25" x14ac:dyDescent="0.25">
      <c r="A15" s="27"/>
      <c r="B15" s="29" t="s">
        <v>63</v>
      </c>
      <c r="C15" s="125" t="s">
        <v>64</v>
      </c>
      <c r="D15" s="126"/>
      <c r="E15" s="126"/>
      <c r="F15" s="126"/>
      <c r="G15" s="126"/>
      <c r="H15" s="126"/>
      <c r="I15" s="126"/>
      <c r="J15" s="126"/>
      <c r="K15" s="127"/>
      <c r="BX15" s="28" t="s">
        <v>64</v>
      </c>
    </row>
    <row r="16" spans="1:76" ht="13.5" customHeight="1" x14ac:dyDescent="0.25">
      <c r="A16" s="27"/>
      <c r="B16" s="29" t="s">
        <v>65</v>
      </c>
      <c r="C16" s="125" t="s">
        <v>66</v>
      </c>
      <c r="D16" s="126"/>
      <c r="E16" s="126"/>
      <c r="F16" s="126"/>
      <c r="G16" s="126"/>
      <c r="H16" s="126"/>
      <c r="I16" s="126"/>
      <c r="J16" s="126"/>
      <c r="K16" s="127"/>
    </row>
    <row r="17" spans="1:76" x14ac:dyDescent="0.25">
      <c r="A17" s="2" t="s">
        <v>67</v>
      </c>
      <c r="B17" s="3" t="s">
        <v>68</v>
      </c>
      <c r="C17" s="69" t="s">
        <v>69</v>
      </c>
      <c r="D17" s="70"/>
      <c r="E17" s="3" t="s">
        <v>57</v>
      </c>
      <c r="F17" s="24">
        <v>39.6</v>
      </c>
      <c r="G17" s="24">
        <v>0</v>
      </c>
      <c r="H17" s="24">
        <f>ROUND(F17*AO17,2)</f>
        <v>0</v>
      </c>
      <c r="I17" s="24">
        <f>ROUND(F17*AP17,2)</f>
        <v>0</v>
      </c>
      <c r="J17" s="24">
        <f>ROUND(F17*G17,2)</f>
        <v>0</v>
      </c>
      <c r="K17" s="25" t="s">
        <v>58</v>
      </c>
      <c r="Z17" s="24">
        <f>ROUND(IF(AQ17="5",BJ17,0),2)</f>
        <v>0</v>
      </c>
      <c r="AB17" s="24">
        <f>ROUND(IF(AQ17="1",BH17,0),2)</f>
        <v>0</v>
      </c>
      <c r="AC17" s="24">
        <f>ROUND(IF(AQ17="1",BI17,0),2)</f>
        <v>0</v>
      </c>
      <c r="AD17" s="24">
        <f>ROUND(IF(AQ17="7",BH17,0),2)</f>
        <v>0</v>
      </c>
      <c r="AE17" s="24">
        <f>ROUND(IF(AQ17="7",BI17,0),2)</f>
        <v>0</v>
      </c>
      <c r="AF17" s="24">
        <f>ROUND(IF(AQ17="2",BH17,0),2)</f>
        <v>0</v>
      </c>
      <c r="AG17" s="24">
        <f>ROUND(IF(AQ17="2",BI17,0),2)</f>
        <v>0</v>
      </c>
      <c r="AH17" s="24">
        <f>ROUND(IF(AQ17="0",BJ17,0),2)</f>
        <v>0</v>
      </c>
      <c r="AI17" s="10" t="s">
        <v>51</v>
      </c>
      <c r="AJ17" s="24">
        <f>IF(AN17=0,J17,0)</f>
        <v>0</v>
      </c>
      <c r="AK17" s="24">
        <f>IF(AN17=12,J17,0)</f>
        <v>0</v>
      </c>
      <c r="AL17" s="24">
        <f>IF(AN17=21,J17,0)</f>
        <v>0</v>
      </c>
      <c r="AN17" s="24">
        <v>21</v>
      </c>
      <c r="AO17" s="24">
        <f>G17*0.335142626</f>
        <v>0</v>
      </c>
      <c r="AP17" s="24">
        <f>G17*(1-0.335142626)</f>
        <v>0</v>
      </c>
      <c r="AQ17" s="26" t="s">
        <v>54</v>
      </c>
      <c r="AV17" s="24">
        <f>ROUND(AW17+AX17,2)</f>
        <v>0</v>
      </c>
      <c r="AW17" s="24">
        <f>ROUND(F17*AO17,2)</f>
        <v>0</v>
      </c>
      <c r="AX17" s="24">
        <f>ROUND(F17*AP17,2)</f>
        <v>0</v>
      </c>
      <c r="AY17" s="26" t="s">
        <v>59</v>
      </c>
      <c r="AZ17" s="26" t="s">
        <v>60</v>
      </c>
      <c r="BA17" s="10" t="s">
        <v>61</v>
      </c>
      <c r="BC17" s="24">
        <f>AW17+AX17</f>
        <v>0</v>
      </c>
      <c r="BD17" s="24">
        <f>G17/(100-BE17)*100</f>
        <v>0</v>
      </c>
      <c r="BE17" s="24">
        <v>0</v>
      </c>
      <c r="BF17" s="24">
        <f>17</f>
        <v>17</v>
      </c>
      <c r="BH17" s="24">
        <f>F17*AO17</f>
        <v>0</v>
      </c>
      <c r="BI17" s="24">
        <f>F17*AP17</f>
        <v>0</v>
      </c>
      <c r="BJ17" s="24">
        <f>F17*G17</f>
        <v>0</v>
      </c>
      <c r="BK17" s="24"/>
      <c r="BL17" s="24">
        <v>41</v>
      </c>
      <c r="BW17" s="24">
        <v>21</v>
      </c>
      <c r="BX17" s="4" t="s">
        <v>69</v>
      </c>
    </row>
    <row r="18" spans="1:76" ht="40.5" customHeight="1" x14ac:dyDescent="0.25">
      <c r="A18" s="27"/>
      <c r="C18" s="125" t="s">
        <v>62</v>
      </c>
      <c r="D18" s="126"/>
      <c r="E18" s="126"/>
      <c r="F18" s="126"/>
      <c r="G18" s="126"/>
      <c r="H18" s="126"/>
      <c r="I18" s="126"/>
      <c r="J18" s="126"/>
      <c r="K18" s="127"/>
    </row>
    <row r="19" spans="1:76" ht="38.25" x14ac:dyDescent="0.25">
      <c r="A19" s="27"/>
      <c r="B19" s="29" t="s">
        <v>63</v>
      </c>
      <c r="C19" s="125" t="s">
        <v>70</v>
      </c>
      <c r="D19" s="126"/>
      <c r="E19" s="126"/>
      <c r="F19" s="126"/>
      <c r="G19" s="126"/>
      <c r="H19" s="126"/>
      <c r="I19" s="126"/>
      <c r="J19" s="126"/>
      <c r="K19" s="127"/>
      <c r="BX19" s="28" t="s">
        <v>70</v>
      </c>
    </row>
    <row r="20" spans="1:76" ht="13.5" customHeight="1" x14ac:dyDescent="0.25">
      <c r="A20" s="27"/>
      <c r="B20" s="29" t="s">
        <v>65</v>
      </c>
      <c r="C20" s="125" t="s">
        <v>66</v>
      </c>
      <c r="D20" s="126"/>
      <c r="E20" s="126"/>
      <c r="F20" s="126"/>
      <c r="G20" s="126"/>
      <c r="H20" s="126"/>
      <c r="I20" s="126"/>
      <c r="J20" s="126"/>
      <c r="K20" s="127"/>
    </row>
    <row r="21" spans="1:76" ht="25.5" x14ac:dyDescent="0.25">
      <c r="A21" s="2" t="s">
        <v>71</v>
      </c>
      <c r="B21" s="3" t="s">
        <v>72</v>
      </c>
      <c r="C21" s="69" t="s">
        <v>73</v>
      </c>
      <c r="D21" s="70"/>
      <c r="E21" s="3" t="s">
        <v>74</v>
      </c>
      <c r="F21" s="24">
        <v>54</v>
      </c>
      <c r="G21" s="24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58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51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21</v>
      </c>
      <c r="AO21" s="24">
        <f>G21*0.271597246</f>
        <v>0</v>
      </c>
      <c r="AP21" s="24">
        <f>G21*(1-0.271597246)</f>
        <v>0</v>
      </c>
      <c r="AQ21" s="26" t="s">
        <v>54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59</v>
      </c>
      <c r="AZ21" s="26" t="s">
        <v>60</v>
      </c>
      <c r="BA21" s="10" t="s">
        <v>61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4"/>
      <c r="BL21" s="24">
        <v>41</v>
      </c>
      <c r="BW21" s="24">
        <v>21</v>
      </c>
      <c r="BX21" s="4" t="s">
        <v>73</v>
      </c>
    </row>
    <row r="22" spans="1:76" ht="25.5" x14ac:dyDescent="0.25">
      <c r="A22" s="27"/>
      <c r="B22" s="29" t="s">
        <v>63</v>
      </c>
      <c r="C22" s="125" t="s">
        <v>75</v>
      </c>
      <c r="D22" s="126"/>
      <c r="E22" s="126"/>
      <c r="F22" s="126"/>
      <c r="G22" s="126"/>
      <c r="H22" s="126"/>
      <c r="I22" s="126"/>
      <c r="J22" s="126"/>
      <c r="K22" s="127"/>
      <c r="BX22" s="28" t="s">
        <v>75</v>
      </c>
    </row>
    <row r="23" spans="1:76" ht="13.5" customHeight="1" x14ac:dyDescent="0.25">
      <c r="A23" s="27"/>
      <c r="B23" s="29" t="s">
        <v>65</v>
      </c>
      <c r="C23" s="125" t="s">
        <v>66</v>
      </c>
      <c r="D23" s="126"/>
      <c r="E23" s="126"/>
      <c r="F23" s="126"/>
      <c r="G23" s="126"/>
      <c r="H23" s="126"/>
      <c r="I23" s="126"/>
      <c r="J23" s="126"/>
      <c r="K23" s="127"/>
    </row>
    <row r="24" spans="1:76" x14ac:dyDescent="0.25">
      <c r="A24" s="2" t="s">
        <v>76</v>
      </c>
      <c r="B24" s="3" t="s">
        <v>77</v>
      </c>
      <c r="C24" s="69" t="s">
        <v>78</v>
      </c>
      <c r="D24" s="70"/>
      <c r="E24" s="3" t="s">
        <v>74</v>
      </c>
      <c r="F24" s="24">
        <v>18</v>
      </c>
      <c r="G24" s="24">
        <v>0</v>
      </c>
      <c r="H24" s="24">
        <f>ROUND(F24*AO24,2)</f>
        <v>0</v>
      </c>
      <c r="I24" s="24">
        <f>ROUND(F24*AP24,2)</f>
        <v>0</v>
      </c>
      <c r="J24" s="24">
        <f>ROUND(F24*G24,2)</f>
        <v>0</v>
      </c>
      <c r="K24" s="25" t="s">
        <v>58</v>
      </c>
      <c r="Z24" s="24">
        <f>ROUND(IF(AQ24="5",BJ24,0),2)</f>
        <v>0</v>
      </c>
      <c r="AB24" s="24">
        <f>ROUND(IF(AQ24="1",BH24,0),2)</f>
        <v>0</v>
      </c>
      <c r="AC24" s="24">
        <f>ROUND(IF(AQ24="1",BI24,0),2)</f>
        <v>0</v>
      </c>
      <c r="AD24" s="24">
        <f>ROUND(IF(AQ24="7",BH24,0),2)</f>
        <v>0</v>
      </c>
      <c r="AE24" s="24">
        <f>ROUND(IF(AQ24="7",BI24,0),2)</f>
        <v>0</v>
      </c>
      <c r="AF24" s="24">
        <f>ROUND(IF(AQ24="2",BH24,0),2)</f>
        <v>0</v>
      </c>
      <c r="AG24" s="24">
        <f>ROUND(IF(AQ24="2",BI24,0),2)</f>
        <v>0</v>
      </c>
      <c r="AH24" s="24">
        <f>ROUND(IF(AQ24="0",BJ24,0),2)</f>
        <v>0</v>
      </c>
      <c r="AI24" s="10" t="s">
        <v>51</v>
      </c>
      <c r="AJ24" s="24">
        <f>IF(AN24=0,J24,0)</f>
        <v>0</v>
      </c>
      <c r="AK24" s="24">
        <f>IF(AN24=12,J24,0)</f>
        <v>0</v>
      </c>
      <c r="AL24" s="24">
        <f>IF(AN24=21,J24,0)</f>
        <v>0</v>
      </c>
      <c r="AN24" s="24">
        <v>21</v>
      </c>
      <c r="AO24" s="24">
        <f>G24*0.271597246</f>
        <v>0</v>
      </c>
      <c r="AP24" s="24">
        <f>G24*(1-0.271597246)</f>
        <v>0</v>
      </c>
      <c r="AQ24" s="26" t="s">
        <v>54</v>
      </c>
      <c r="AV24" s="24">
        <f>ROUND(AW24+AX24,2)</f>
        <v>0</v>
      </c>
      <c r="AW24" s="24">
        <f>ROUND(F24*AO24,2)</f>
        <v>0</v>
      </c>
      <c r="AX24" s="24">
        <f>ROUND(F24*AP24,2)</f>
        <v>0</v>
      </c>
      <c r="AY24" s="26" t="s">
        <v>59</v>
      </c>
      <c r="AZ24" s="26" t="s">
        <v>60</v>
      </c>
      <c r="BA24" s="10" t="s">
        <v>61</v>
      </c>
      <c r="BC24" s="24">
        <f>AW24+AX24</f>
        <v>0</v>
      </c>
      <c r="BD24" s="24">
        <f>G24/(100-BE24)*100</f>
        <v>0</v>
      </c>
      <c r="BE24" s="24">
        <v>0</v>
      </c>
      <c r="BF24" s="24">
        <f>24</f>
        <v>24</v>
      </c>
      <c r="BH24" s="24">
        <f>F24*AO24</f>
        <v>0</v>
      </c>
      <c r="BI24" s="24">
        <f>F24*AP24</f>
        <v>0</v>
      </c>
      <c r="BJ24" s="24">
        <f>F24*G24</f>
        <v>0</v>
      </c>
      <c r="BK24" s="24"/>
      <c r="BL24" s="24">
        <v>41</v>
      </c>
      <c r="BW24" s="24">
        <v>21</v>
      </c>
      <c r="BX24" s="4" t="s">
        <v>78</v>
      </c>
    </row>
    <row r="25" spans="1:76" ht="13.5" customHeight="1" x14ac:dyDescent="0.25">
      <c r="A25" s="27"/>
      <c r="B25" s="29" t="s">
        <v>65</v>
      </c>
      <c r="C25" s="125" t="s">
        <v>66</v>
      </c>
      <c r="D25" s="126"/>
      <c r="E25" s="126"/>
      <c r="F25" s="126"/>
      <c r="G25" s="126"/>
      <c r="H25" s="126"/>
      <c r="I25" s="126"/>
      <c r="J25" s="126"/>
      <c r="K25" s="127"/>
    </row>
    <row r="26" spans="1:76" x14ac:dyDescent="0.25">
      <c r="A26" s="30" t="s">
        <v>51</v>
      </c>
      <c r="B26" s="31" t="s">
        <v>79</v>
      </c>
      <c r="C26" s="121" t="s">
        <v>80</v>
      </c>
      <c r="D26" s="122"/>
      <c r="E26" s="32" t="s">
        <v>4</v>
      </c>
      <c r="F26" s="32" t="s">
        <v>4</v>
      </c>
      <c r="G26" s="32" t="s">
        <v>4</v>
      </c>
      <c r="H26" s="1">
        <f>SUM(H27:H27)</f>
        <v>0</v>
      </c>
      <c r="I26" s="1">
        <f>SUM(I27:I27)</f>
        <v>0</v>
      </c>
      <c r="J26" s="1">
        <f>SUM(J27:J27)</f>
        <v>0</v>
      </c>
      <c r="K26" s="33" t="s">
        <v>51</v>
      </c>
      <c r="AI26" s="10" t="s">
        <v>51</v>
      </c>
      <c r="AS26" s="1">
        <f>SUM(AJ27:AJ27)</f>
        <v>0</v>
      </c>
      <c r="AT26" s="1">
        <f>SUM(AK27:AK27)</f>
        <v>0</v>
      </c>
      <c r="AU26" s="1">
        <f>SUM(AL27:AL27)</f>
        <v>0</v>
      </c>
    </row>
    <row r="27" spans="1:76" x14ac:dyDescent="0.25">
      <c r="A27" s="2" t="s">
        <v>81</v>
      </c>
      <c r="B27" s="3" t="s">
        <v>82</v>
      </c>
      <c r="C27" s="69" t="s">
        <v>83</v>
      </c>
      <c r="D27" s="70"/>
      <c r="E27" s="3" t="s">
        <v>57</v>
      </c>
      <c r="F27" s="24">
        <v>43.3125</v>
      </c>
      <c r="G27" s="24">
        <v>0</v>
      </c>
      <c r="H27" s="24">
        <f>ROUND(F27*AO27,2)</f>
        <v>0</v>
      </c>
      <c r="I27" s="24">
        <f>ROUND(F27*AP27,2)</f>
        <v>0</v>
      </c>
      <c r="J27" s="24">
        <f>ROUND(F27*G27,2)</f>
        <v>0</v>
      </c>
      <c r="K27" s="25" t="s">
        <v>58</v>
      </c>
      <c r="Z27" s="24">
        <f>ROUND(IF(AQ27="5",BJ27,0),2)</f>
        <v>0</v>
      </c>
      <c r="AB27" s="24">
        <f>ROUND(IF(AQ27="1",BH27,0),2)</f>
        <v>0</v>
      </c>
      <c r="AC27" s="24">
        <f>ROUND(IF(AQ27="1",BI27,0),2)</f>
        <v>0</v>
      </c>
      <c r="AD27" s="24">
        <f>ROUND(IF(AQ27="7",BH27,0),2)</f>
        <v>0</v>
      </c>
      <c r="AE27" s="24">
        <f>ROUND(IF(AQ27="7",BI27,0),2)</f>
        <v>0</v>
      </c>
      <c r="AF27" s="24">
        <f>ROUND(IF(AQ27="2",BH27,0),2)</f>
        <v>0</v>
      </c>
      <c r="AG27" s="24">
        <f>ROUND(IF(AQ27="2",BI27,0),2)</f>
        <v>0</v>
      </c>
      <c r="AH27" s="24">
        <f>ROUND(IF(AQ27="0",BJ27,0),2)</f>
        <v>0</v>
      </c>
      <c r="AI27" s="10" t="s">
        <v>51</v>
      </c>
      <c r="AJ27" s="24">
        <f>IF(AN27=0,J27,0)</f>
        <v>0</v>
      </c>
      <c r="AK27" s="24">
        <f>IF(AN27=12,J27,0)</f>
        <v>0</v>
      </c>
      <c r="AL27" s="24">
        <f>IF(AN27=21,J27,0)</f>
        <v>0</v>
      </c>
      <c r="AN27" s="24">
        <v>21</v>
      </c>
      <c r="AO27" s="24">
        <f>G27*0.312807792</f>
        <v>0</v>
      </c>
      <c r="AP27" s="24">
        <f>G27*(1-0.312807792)</f>
        <v>0</v>
      </c>
      <c r="AQ27" s="26" t="s">
        <v>54</v>
      </c>
      <c r="AV27" s="24">
        <f>ROUND(AW27+AX27,2)</f>
        <v>0</v>
      </c>
      <c r="AW27" s="24">
        <f>ROUND(F27*AO27,2)</f>
        <v>0</v>
      </c>
      <c r="AX27" s="24">
        <f>ROUND(F27*AP27,2)</f>
        <v>0</v>
      </c>
      <c r="AY27" s="26" t="s">
        <v>84</v>
      </c>
      <c r="AZ27" s="26" t="s">
        <v>85</v>
      </c>
      <c r="BA27" s="10" t="s">
        <v>61</v>
      </c>
      <c r="BC27" s="24">
        <f>AW27+AX27</f>
        <v>0</v>
      </c>
      <c r="BD27" s="24">
        <f>G27/(100-BE27)*100</f>
        <v>0</v>
      </c>
      <c r="BE27" s="24">
        <v>0</v>
      </c>
      <c r="BF27" s="24">
        <f>27</f>
        <v>27</v>
      </c>
      <c r="BH27" s="24">
        <f>F27*AO27</f>
        <v>0</v>
      </c>
      <c r="BI27" s="24">
        <f>F27*AP27</f>
        <v>0</v>
      </c>
      <c r="BJ27" s="24">
        <f>F27*G27</f>
        <v>0</v>
      </c>
      <c r="BK27" s="24"/>
      <c r="BL27" s="24">
        <v>61</v>
      </c>
      <c r="BW27" s="24">
        <v>21</v>
      </c>
      <c r="BX27" s="4" t="s">
        <v>83</v>
      </c>
    </row>
    <row r="28" spans="1:76" x14ac:dyDescent="0.25">
      <c r="A28" s="30" t="s">
        <v>51</v>
      </c>
      <c r="B28" s="31" t="s">
        <v>86</v>
      </c>
      <c r="C28" s="121" t="s">
        <v>87</v>
      </c>
      <c r="D28" s="122"/>
      <c r="E28" s="32" t="s">
        <v>4</v>
      </c>
      <c r="F28" s="32" t="s">
        <v>4</v>
      </c>
      <c r="G28" s="32" t="s">
        <v>4</v>
      </c>
      <c r="H28" s="1">
        <f>SUM(H29:H40)</f>
        <v>0</v>
      </c>
      <c r="I28" s="1">
        <f>SUM(I29:I40)</f>
        <v>0</v>
      </c>
      <c r="J28" s="1">
        <f>SUM(J29:J40)</f>
        <v>0</v>
      </c>
      <c r="K28" s="33" t="s">
        <v>51</v>
      </c>
      <c r="AI28" s="10" t="s">
        <v>51</v>
      </c>
      <c r="AS28" s="1">
        <f>SUM(AJ29:AJ40)</f>
        <v>0</v>
      </c>
      <c r="AT28" s="1">
        <f>SUM(AK29:AK40)</f>
        <v>0</v>
      </c>
      <c r="AU28" s="1">
        <f>SUM(AL29:AL40)</f>
        <v>0</v>
      </c>
    </row>
    <row r="29" spans="1:76" x14ac:dyDescent="0.25">
      <c r="A29" s="2" t="s">
        <v>88</v>
      </c>
      <c r="B29" s="3" t="s">
        <v>89</v>
      </c>
      <c r="C29" s="69" t="s">
        <v>90</v>
      </c>
      <c r="D29" s="70"/>
      <c r="E29" s="3" t="s">
        <v>57</v>
      </c>
      <c r="F29" s="24">
        <v>337.39749999999998</v>
      </c>
      <c r="G29" s="24">
        <v>0</v>
      </c>
      <c r="H29" s="24">
        <f>ROUND(F29*AO29,2)</f>
        <v>0</v>
      </c>
      <c r="I29" s="24">
        <f>ROUND(F29*AP29,2)</f>
        <v>0</v>
      </c>
      <c r="J29" s="24">
        <f>ROUND(F29*G29,2)</f>
        <v>0</v>
      </c>
      <c r="K29" s="25" t="s">
        <v>58</v>
      </c>
      <c r="Z29" s="24">
        <f>ROUND(IF(AQ29="5",BJ29,0),2)</f>
        <v>0</v>
      </c>
      <c r="AB29" s="24">
        <f>ROUND(IF(AQ29="1",BH29,0),2)</f>
        <v>0</v>
      </c>
      <c r="AC29" s="24">
        <f>ROUND(IF(AQ29="1",BI29,0),2)</f>
        <v>0</v>
      </c>
      <c r="AD29" s="24">
        <f>ROUND(IF(AQ29="7",BH29,0),2)</f>
        <v>0</v>
      </c>
      <c r="AE29" s="24">
        <f>ROUND(IF(AQ29="7",BI29,0),2)</f>
        <v>0</v>
      </c>
      <c r="AF29" s="24">
        <f>ROUND(IF(AQ29="2",BH29,0),2)</f>
        <v>0</v>
      </c>
      <c r="AG29" s="24">
        <f>ROUND(IF(AQ29="2",BI29,0),2)</f>
        <v>0</v>
      </c>
      <c r="AH29" s="24">
        <f>ROUND(IF(AQ29="0",BJ29,0),2)</f>
        <v>0</v>
      </c>
      <c r="AI29" s="10" t="s">
        <v>51</v>
      </c>
      <c r="AJ29" s="24">
        <f>IF(AN29=0,J29,0)</f>
        <v>0</v>
      </c>
      <c r="AK29" s="24">
        <f>IF(AN29=12,J29,0)</f>
        <v>0</v>
      </c>
      <c r="AL29" s="24">
        <f>IF(AN29=21,J29,0)</f>
        <v>0</v>
      </c>
      <c r="AN29" s="24">
        <v>21</v>
      </c>
      <c r="AO29" s="24">
        <f>G29*0.151160723</f>
        <v>0</v>
      </c>
      <c r="AP29" s="24">
        <f>G29*(1-0.151160723)</f>
        <v>0</v>
      </c>
      <c r="AQ29" s="26" t="s">
        <v>91</v>
      </c>
      <c r="AV29" s="24">
        <f>ROUND(AW29+AX29,2)</f>
        <v>0</v>
      </c>
      <c r="AW29" s="24">
        <f>ROUND(F29*AO29,2)</f>
        <v>0</v>
      </c>
      <c r="AX29" s="24">
        <f>ROUND(F29*AP29,2)</f>
        <v>0</v>
      </c>
      <c r="AY29" s="26" t="s">
        <v>92</v>
      </c>
      <c r="AZ29" s="26" t="s">
        <v>93</v>
      </c>
      <c r="BA29" s="10" t="s">
        <v>61</v>
      </c>
      <c r="BC29" s="24">
        <f>AW29+AX29</f>
        <v>0</v>
      </c>
      <c r="BD29" s="24">
        <f>G29/(100-BE29)*100</f>
        <v>0</v>
      </c>
      <c r="BE29" s="24">
        <v>0</v>
      </c>
      <c r="BF29" s="24">
        <f>29</f>
        <v>29</v>
      </c>
      <c r="BH29" s="24">
        <f>F29*AO29</f>
        <v>0</v>
      </c>
      <c r="BI29" s="24">
        <f>F29*AP29</f>
        <v>0</v>
      </c>
      <c r="BJ29" s="24">
        <f>F29*G29</f>
        <v>0</v>
      </c>
      <c r="BK29" s="24"/>
      <c r="BL29" s="24">
        <v>784</v>
      </c>
      <c r="BW29" s="24">
        <v>21</v>
      </c>
      <c r="BX29" s="4" t="s">
        <v>90</v>
      </c>
    </row>
    <row r="30" spans="1:76" x14ac:dyDescent="0.25">
      <c r="A30" s="2" t="s">
        <v>91</v>
      </c>
      <c r="B30" s="3" t="s">
        <v>94</v>
      </c>
      <c r="C30" s="69" t="s">
        <v>95</v>
      </c>
      <c r="D30" s="70"/>
      <c r="E30" s="3" t="s">
        <v>57</v>
      </c>
      <c r="F30" s="24">
        <v>162</v>
      </c>
      <c r="G30" s="24">
        <v>0</v>
      </c>
      <c r="H30" s="24">
        <f>ROUND(F30*AO30,2)</f>
        <v>0</v>
      </c>
      <c r="I30" s="24">
        <f>ROUND(F30*AP30,2)</f>
        <v>0</v>
      </c>
      <c r="J30" s="24">
        <f>ROUND(F30*G30,2)</f>
        <v>0</v>
      </c>
      <c r="K30" s="25" t="s">
        <v>58</v>
      </c>
      <c r="Z30" s="24">
        <f>ROUND(IF(AQ30="5",BJ30,0),2)</f>
        <v>0</v>
      </c>
      <c r="AB30" s="24">
        <f>ROUND(IF(AQ30="1",BH30,0),2)</f>
        <v>0</v>
      </c>
      <c r="AC30" s="24">
        <f>ROUND(IF(AQ30="1",BI30,0),2)</f>
        <v>0</v>
      </c>
      <c r="AD30" s="24">
        <f>ROUND(IF(AQ30="7",BH30,0),2)</f>
        <v>0</v>
      </c>
      <c r="AE30" s="24">
        <f>ROUND(IF(AQ30="7",BI30,0),2)</f>
        <v>0</v>
      </c>
      <c r="AF30" s="24">
        <f>ROUND(IF(AQ30="2",BH30,0),2)</f>
        <v>0</v>
      </c>
      <c r="AG30" s="24">
        <f>ROUND(IF(AQ30="2",BI30,0),2)</f>
        <v>0</v>
      </c>
      <c r="AH30" s="24">
        <f>ROUND(IF(AQ30="0",BJ30,0),2)</f>
        <v>0</v>
      </c>
      <c r="AI30" s="10" t="s">
        <v>51</v>
      </c>
      <c r="AJ30" s="24">
        <f>IF(AN30=0,J30,0)</f>
        <v>0</v>
      </c>
      <c r="AK30" s="24">
        <f>IF(AN30=12,J30,0)</f>
        <v>0</v>
      </c>
      <c r="AL30" s="24">
        <f>IF(AN30=21,J30,0)</f>
        <v>0</v>
      </c>
      <c r="AN30" s="24">
        <v>21</v>
      </c>
      <c r="AO30" s="24">
        <f>G30*0.600480769</f>
        <v>0</v>
      </c>
      <c r="AP30" s="24">
        <f>G30*(1-0.600480769)</f>
        <v>0</v>
      </c>
      <c r="AQ30" s="26" t="s">
        <v>91</v>
      </c>
      <c r="AV30" s="24">
        <f>ROUND(AW30+AX30,2)</f>
        <v>0</v>
      </c>
      <c r="AW30" s="24">
        <f>ROUND(F30*AO30,2)</f>
        <v>0</v>
      </c>
      <c r="AX30" s="24">
        <f>ROUND(F30*AP30,2)</f>
        <v>0</v>
      </c>
      <c r="AY30" s="26" t="s">
        <v>92</v>
      </c>
      <c r="AZ30" s="26" t="s">
        <v>93</v>
      </c>
      <c r="BA30" s="10" t="s">
        <v>61</v>
      </c>
      <c r="BC30" s="24">
        <f>AW30+AX30</f>
        <v>0</v>
      </c>
      <c r="BD30" s="24">
        <f>G30/(100-BE30)*100</f>
        <v>0</v>
      </c>
      <c r="BE30" s="24">
        <v>0</v>
      </c>
      <c r="BF30" s="24">
        <f>30</f>
        <v>30</v>
      </c>
      <c r="BH30" s="24">
        <f>F30*AO30</f>
        <v>0</v>
      </c>
      <c r="BI30" s="24">
        <f>F30*AP30</f>
        <v>0</v>
      </c>
      <c r="BJ30" s="24">
        <f>F30*G30</f>
        <v>0</v>
      </c>
      <c r="BK30" s="24"/>
      <c r="BL30" s="24">
        <v>784</v>
      </c>
      <c r="BW30" s="24">
        <v>21</v>
      </c>
      <c r="BX30" s="4" t="s">
        <v>95</v>
      </c>
    </row>
    <row r="31" spans="1:76" ht="13.5" customHeight="1" x14ac:dyDescent="0.25">
      <c r="A31" s="27"/>
      <c r="C31" s="125" t="s">
        <v>96</v>
      </c>
      <c r="D31" s="126"/>
      <c r="E31" s="126"/>
      <c r="F31" s="126"/>
      <c r="G31" s="126"/>
      <c r="H31" s="126"/>
      <c r="I31" s="126"/>
      <c r="J31" s="126"/>
      <c r="K31" s="127"/>
    </row>
    <row r="32" spans="1:76" x14ac:dyDescent="0.25">
      <c r="A32" s="2" t="s">
        <v>97</v>
      </c>
      <c r="B32" s="3" t="s">
        <v>98</v>
      </c>
      <c r="C32" s="69" t="s">
        <v>99</v>
      </c>
      <c r="D32" s="70"/>
      <c r="E32" s="3" t="s">
        <v>57</v>
      </c>
      <c r="F32" s="24">
        <v>105</v>
      </c>
      <c r="G32" s="24">
        <v>0</v>
      </c>
      <c r="H32" s="24">
        <f>ROUND(F32*AO32,2)</f>
        <v>0</v>
      </c>
      <c r="I32" s="24">
        <f>ROUND(F32*AP32,2)</f>
        <v>0</v>
      </c>
      <c r="J32" s="24">
        <f>ROUND(F32*G32,2)</f>
        <v>0</v>
      </c>
      <c r="K32" s="25" t="s">
        <v>58</v>
      </c>
      <c r="Z32" s="24">
        <f>ROUND(IF(AQ32="5",BJ32,0),2)</f>
        <v>0</v>
      </c>
      <c r="AB32" s="24">
        <f>ROUND(IF(AQ32="1",BH32,0),2)</f>
        <v>0</v>
      </c>
      <c r="AC32" s="24">
        <f>ROUND(IF(AQ32="1",BI32,0),2)</f>
        <v>0</v>
      </c>
      <c r="AD32" s="24">
        <f>ROUND(IF(AQ32="7",BH32,0),2)</f>
        <v>0</v>
      </c>
      <c r="AE32" s="24">
        <f>ROUND(IF(AQ32="7",BI32,0),2)</f>
        <v>0</v>
      </c>
      <c r="AF32" s="24">
        <f>ROUND(IF(AQ32="2",BH32,0),2)</f>
        <v>0</v>
      </c>
      <c r="AG32" s="24">
        <f>ROUND(IF(AQ32="2",BI32,0),2)</f>
        <v>0</v>
      </c>
      <c r="AH32" s="24">
        <f>ROUND(IF(AQ32="0",BJ32,0),2)</f>
        <v>0</v>
      </c>
      <c r="AI32" s="10" t="s">
        <v>51</v>
      </c>
      <c r="AJ32" s="24">
        <f>IF(AN32=0,J32,0)</f>
        <v>0</v>
      </c>
      <c r="AK32" s="24">
        <f>IF(AN32=12,J32,0)</f>
        <v>0</v>
      </c>
      <c r="AL32" s="24">
        <f>IF(AN32=21,J32,0)</f>
        <v>0</v>
      </c>
      <c r="AN32" s="24">
        <v>21</v>
      </c>
      <c r="AO32" s="24">
        <f>G32*0.306589147</f>
        <v>0</v>
      </c>
      <c r="AP32" s="24">
        <f>G32*(1-0.306589147)</f>
        <v>0</v>
      </c>
      <c r="AQ32" s="26" t="s">
        <v>91</v>
      </c>
      <c r="AV32" s="24">
        <f>ROUND(AW32+AX32,2)</f>
        <v>0</v>
      </c>
      <c r="AW32" s="24">
        <f>ROUND(F32*AO32,2)</f>
        <v>0</v>
      </c>
      <c r="AX32" s="24">
        <f>ROUND(F32*AP32,2)</f>
        <v>0</v>
      </c>
      <c r="AY32" s="26" t="s">
        <v>92</v>
      </c>
      <c r="AZ32" s="26" t="s">
        <v>93</v>
      </c>
      <c r="BA32" s="10" t="s">
        <v>61</v>
      </c>
      <c r="BC32" s="24">
        <f>AW32+AX32</f>
        <v>0</v>
      </c>
      <c r="BD32" s="24">
        <f>G32/(100-BE32)*100</f>
        <v>0</v>
      </c>
      <c r="BE32" s="24">
        <v>0</v>
      </c>
      <c r="BF32" s="24">
        <f>32</f>
        <v>32</v>
      </c>
      <c r="BH32" s="24">
        <f>F32*AO32</f>
        <v>0</v>
      </c>
      <c r="BI32" s="24">
        <f>F32*AP32</f>
        <v>0</v>
      </c>
      <c r="BJ32" s="24">
        <f>F32*G32</f>
        <v>0</v>
      </c>
      <c r="BK32" s="24"/>
      <c r="BL32" s="24">
        <v>784</v>
      </c>
      <c r="BW32" s="24">
        <v>21</v>
      </c>
      <c r="BX32" s="4" t="s">
        <v>99</v>
      </c>
    </row>
    <row r="33" spans="1:76" ht="13.5" customHeight="1" x14ac:dyDescent="0.25">
      <c r="A33" s="27"/>
      <c r="C33" s="125" t="s">
        <v>100</v>
      </c>
      <c r="D33" s="126"/>
      <c r="E33" s="126"/>
      <c r="F33" s="126"/>
      <c r="G33" s="126"/>
      <c r="H33" s="126"/>
      <c r="I33" s="126"/>
      <c r="J33" s="126"/>
      <c r="K33" s="127"/>
    </row>
    <row r="34" spans="1:76" x14ac:dyDescent="0.25">
      <c r="A34" s="2" t="s">
        <v>101</v>
      </c>
      <c r="B34" s="3" t="s">
        <v>102</v>
      </c>
      <c r="C34" s="69" t="s">
        <v>95</v>
      </c>
      <c r="D34" s="70"/>
      <c r="E34" s="3" t="s">
        <v>57</v>
      </c>
      <c r="F34" s="24">
        <v>162</v>
      </c>
      <c r="G34" s="24">
        <v>0</v>
      </c>
      <c r="H34" s="24">
        <f>ROUND(F34*AO34,2)</f>
        <v>0</v>
      </c>
      <c r="I34" s="24">
        <f>ROUND(F34*AP34,2)</f>
        <v>0</v>
      </c>
      <c r="J34" s="24">
        <f>ROUND(F34*G34,2)</f>
        <v>0</v>
      </c>
      <c r="K34" s="25" t="s">
        <v>58</v>
      </c>
      <c r="Z34" s="24">
        <f>ROUND(IF(AQ34="5",BJ34,0),2)</f>
        <v>0</v>
      </c>
      <c r="AB34" s="24">
        <f>ROUND(IF(AQ34="1",BH34,0),2)</f>
        <v>0</v>
      </c>
      <c r="AC34" s="24">
        <f>ROUND(IF(AQ34="1",BI34,0),2)</f>
        <v>0</v>
      </c>
      <c r="AD34" s="24">
        <f>ROUND(IF(AQ34="7",BH34,0),2)</f>
        <v>0</v>
      </c>
      <c r="AE34" s="24">
        <f>ROUND(IF(AQ34="7",BI34,0),2)</f>
        <v>0</v>
      </c>
      <c r="AF34" s="24">
        <f>ROUND(IF(AQ34="2",BH34,0),2)</f>
        <v>0</v>
      </c>
      <c r="AG34" s="24">
        <f>ROUND(IF(AQ34="2",BI34,0),2)</f>
        <v>0</v>
      </c>
      <c r="AH34" s="24">
        <f>ROUND(IF(AQ34="0",BJ34,0),2)</f>
        <v>0</v>
      </c>
      <c r="AI34" s="10" t="s">
        <v>51</v>
      </c>
      <c r="AJ34" s="24">
        <f>IF(AN34=0,J34,0)</f>
        <v>0</v>
      </c>
      <c r="AK34" s="24">
        <f>IF(AN34=12,J34,0)</f>
        <v>0</v>
      </c>
      <c r="AL34" s="24">
        <f>IF(AN34=21,J34,0)</f>
        <v>0</v>
      </c>
      <c r="AN34" s="24">
        <v>21</v>
      </c>
      <c r="AO34" s="24">
        <f>G34*0</f>
        <v>0</v>
      </c>
      <c r="AP34" s="24">
        <f>G34*(1-0)</f>
        <v>0</v>
      </c>
      <c r="AQ34" s="26" t="s">
        <v>91</v>
      </c>
      <c r="AV34" s="24">
        <f>ROUND(AW34+AX34,2)</f>
        <v>0</v>
      </c>
      <c r="AW34" s="24">
        <f>ROUND(F34*AO34,2)</f>
        <v>0</v>
      </c>
      <c r="AX34" s="24">
        <f>ROUND(F34*AP34,2)</f>
        <v>0</v>
      </c>
      <c r="AY34" s="26" t="s">
        <v>92</v>
      </c>
      <c r="AZ34" s="26" t="s">
        <v>93</v>
      </c>
      <c r="BA34" s="10" t="s">
        <v>61</v>
      </c>
      <c r="BC34" s="24">
        <f>AW34+AX34</f>
        <v>0</v>
      </c>
      <c r="BD34" s="24">
        <f>G34/(100-BE34)*100</f>
        <v>0</v>
      </c>
      <c r="BE34" s="24">
        <v>0</v>
      </c>
      <c r="BF34" s="24">
        <f>34</f>
        <v>34</v>
      </c>
      <c r="BH34" s="24">
        <f>F34*AO34</f>
        <v>0</v>
      </c>
      <c r="BI34" s="24">
        <f>F34*AP34</f>
        <v>0</v>
      </c>
      <c r="BJ34" s="24">
        <f>F34*G34</f>
        <v>0</v>
      </c>
      <c r="BK34" s="24"/>
      <c r="BL34" s="24">
        <v>784</v>
      </c>
      <c r="BW34" s="24">
        <v>21</v>
      </c>
      <c r="BX34" s="4" t="s">
        <v>95</v>
      </c>
    </row>
    <row r="35" spans="1:76" ht="13.5" customHeight="1" x14ac:dyDescent="0.25">
      <c r="A35" s="27"/>
      <c r="C35" s="125" t="s">
        <v>103</v>
      </c>
      <c r="D35" s="126"/>
      <c r="E35" s="126"/>
      <c r="F35" s="126"/>
      <c r="G35" s="126"/>
      <c r="H35" s="126"/>
      <c r="I35" s="126"/>
      <c r="J35" s="126"/>
      <c r="K35" s="127"/>
    </row>
    <row r="36" spans="1:76" x14ac:dyDescent="0.25">
      <c r="A36" s="34" t="s">
        <v>104</v>
      </c>
      <c r="B36" s="35" t="s">
        <v>105</v>
      </c>
      <c r="C36" s="128" t="s">
        <v>106</v>
      </c>
      <c r="D36" s="129"/>
      <c r="E36" s="35" t="s">
        <v>57</v>
      </c>
      <c r="F36" s="37">
        <v>170.1</v>
      </c>
      <c r="G36" s="37">
        <v>0</v>
      </c>
      <c r="H36" s="37">
        <f>ROUND(F36*AO36,2)</f>
        <v>0</v>
      </c>
      <c r="I36" s="37">
        <f>ROUND(F36*AP36,2)</f>
        <v>0</v>
      </c>
      <c r="J36" s="37">
        <f>ROUND(F36*G36,2)</f>
        <v>0</v>
      </c>
      <c r="K36" s="38" t="s">
        <v>58</v>
      </c>
      <c r="Z36" s="24">
        <f>ROUND(IF(AQ36="5",BJ36,0),2)</f>
        <v>0</v>
      </c>
      <c r="AB36" s="24">
        <f>ROUND(IF(AQ36="1",BH36,0),2)</f>
        <v>0</v>
      </c>
      <c r="AC36" s="24">
        <f>ROUND(IF(AQ36="1",BI36,0),2)</f>
        <v>0</v>
      </c>
      <c r="AD36" s="24">
        <f>ROUND(IF(AQ36="7",BH36,0),2)</f>
        <v>0</v>
      </c>
      <c r="AE36" s="24">
        <f>ROUND(IF(AQ36="7",BI36,0),2)</f>
        <v>0</v>
      </c>
      <c r="AF36" s="24">
        <f>ROUND(IF(AQ36="2",BH36,0),2)</f>
        <v>0</v>
      </c>
      <c r="AG36" s="24">
        <f>ROUND(IF(AQ36="2",BI36,0),2)</f>
        <v>0</v>
      </c>
      <c r="AH36" s="24">
        <f>ROUND(IF(AQ36="0",BJ36,0),2)</f>
        <v>0</v>
      </c>
      <c r="AI36" s="10" t="s">
        <v>51</v>
      </c>
      <c r="AJ36" s="37">
        <f>IF(AN36=0,J36,0)</f>
        <v>0</v>
      </c>
      <c r="AK36" s="37">
        <f>IF(AN36=12,J36,0)</f>
        <v>0</v>
      </c>
      <c r="AL36" s="37">
        <f>IF(AN36=21,J36,0)</f>
        <v>0</v>
      </c>
      <c r="AN36" s="24">
        <v>21</v>
      </c>
      <c r="AO36" s="24">
        <f>G36*1</f>
        <v>0</v>
      </c>
      <c r="AP36" s="24">
        <f>G36*(1-1)</f>
        <v>0</v>
      </c>
      <c r="AQ36" s="39" t="s">
        <v>91</v>
      </c>
      <c r="AV36" s="24">
        <f>ROUND(AW36+AX36,2)</f>
        <v>0</v>
      </c>
      <c r="AW36" s="24">
        <f>ROUND(F36*AO36,2)</f>
        <v>0</v>
      </c>
      <c r="AX36" s="24">
        <f>ROUND(F36*AP36,2)</f>
        <v>0</v>
      </c>
      <c r="AY36" s="26" t="s">
        <v>92</v>
      </c>
      <c r="AZ36" s="26" t="s">
        <v>93</v>
      </c>
      <c r="BA36" s="10" t="s">
        <v>61</v>
      </c>
      <c r="BC36" s="24">
        <f>AW36+AX36</f>
        <v>0</v>
      </c>
      <c r="BD36" s="24">
        <f>G36/(100-BE36)*100</f>
        <v>0</v>
      </c>
      <c r="BE36" s="24">
        <v>0</v>
      </c>
      <c r="BF36" s="24">
        <f>36</f>
        <v>36</v>
      </c>
      <c r="BH36" s="37">
        <f>F36*AO36</f>
        <v>0</v>
      </c>
      <c r="BI36" s="37">
        <f>F36*AP36</f>
        <v>0</v>
      </c>
      <c r="BJ36" s="37">
        <f>F36*G36</f>
        <v>0</v>
      </c>
      <c r="BK36" s="37"/>
      <c r="BL36" s="24">
        <v>784</v>
      </c>
      <c r="BW36" s="24">
        <v>21</v>
      </c>
      <c r="BX36" s="36" t="s">
        <v>106</v>
      </c>
    </row>
    <row r="37" spans="1:76" ht="255" x14ac:dyDescent="0.25">
      <c r="A37" s="27"/>
      <c r="B37" s="29" t="s">
        <v>63</v>
      </c>
      <c r="C37" s="125" t="s">
        <v>107</v>
      </c>
      <c r="D37" s="126"/>
      <c r="E37" s="126"/>
      <c r="F37" s="126"/>
      <c r="G37" s="126"/>
      <c r="H37" s="126"/>
      <c r="I37" s="126"/>
      <c r="J37" s="126"/>
      <c r="K37" s="127"/>
      <c r="BX37" s="40" t="s">
        <v>107</v>
      </c>
    </row>
    <row r="38" spans="1:76" x14ac:dyDescent="0.25">
      <c r="A38" s="2" t="s">
        <v>108</v>
      </c>
      <c r="B38" s="3" t="s">
        <v>102</v>
      </c>
      <c r="C38" s="69" t="s">
        <v>95</v>
      </c>
      <c r="D38" s="70"/>
      <c r="E38" s="3" t="s">
        <v>57</v>
      </c>
      <c r="F38" s="24">
        <v>162</v>
      </c>
      <c r="G38" s="24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58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51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21</v>
      </c>
      <c r="AO38" s="24">
        <f>G38*0</f>
        <v>0</v>
      </c>
      <c r="AP38" s="24">
        <f>G38*(1-0)</f>
        <v>0</v>
      </c>
      <c r="AQ38" s="26" t="s">
        <v>91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92</v>
      </c>
      <c r="AZ38" s="26" t="s">
        <v>93</v>
      </c>
      <c r="BA38" s="10" t="s">
        <v>61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4"/>
      <c r="BL38" s="24">
        <v>784</v>
      </c>
      <c r="BW38" s="24">
        <v>21</v>
      </c>
      <c r="BX38" s="4" t="s">
        <v>95</v>
      </c>
    </row>
    <row r="39" spans="1:76" ht="13.5" customHeight="1" x14ac:dyDescent="0.25">
      <c r="A39" s="27"/>
      <c r="C39" s="125" t="s">
        <v>103</v>
      </c>
      <c r="D39" s="126"/>
      <c r="E39" s="126"/>
      <c r="F39" s="126"/>
      <c r="G39" s="126"/>
      <c r="H39" s="126"/>
      <c r="I39" s="126"/>
      <c r="J39" s="126"/>
      <c r="K39" s="127"/>
    </row>
    <row r="40" spans="1:76" x14ac:dyDescent="0.25">
      <c r="A40" s="34" t="s">
        <v>109</v>
      </c>
      <c r="B40" s="35" t="s">
        <v>110</v>
      </c>
      <c r="C40" s="128" t="s">
        <v>111</v>
      </c>
      <c r="D40" s="129"/>
      <c r="E40" s="35" t="s">
        <v>57</v>
      </c>
      <c r="F40" s="37">
        <v>165.24</v>
      </c>
      <c r="G40" s="37">
        <v>0</v>
      </c>
      <c r="H40" s="37">
        <f>ROUND(F40*AO40,2)</f>
        <v>0</v>
      </c>
      <c r="I40" s="37">
        <f>ROUND(F40*AP40,2)</f>
        <v>0</v>
      </c>
      <c r="J40" s="37">
        <f>ROUND(F40*G40,2)</f>
        <v>0</v>
      </c>
      <c r="K40" s="38" t="s">
        <v>58</v>
      </c>
      <c r="Z40" s="24">
        <f>ROUND(IF(AQ40="5",BJ40,0),2)</f>
        <v>0</v>
      </c>
      <c r="AB40" s="24">
        <f>ROUND(IF(AQ40="1",BH40,0),2)</f>
        <v>0</v>
      </c>
      <c r="AC40" s="24">
        <f>ROUND(IF(AQ40="1",BI40,0),2)</f>
        <v>0</v>
      </c>
      <c r="AD40" s="24">
        <f>ROUND(IF(AQ40="7",BH40,0),2)</f>
        <v>0</v>
      </c>
      <c r="AE40" s="24">
        <f>ROUND(IF(AQ40="7",BI40,0),2)</f>
        <v>0</v>
      </c>
      <c r="AF40" s="24">
        <f>ROUND(IF(AQ40="2",BH40,0),2)</f>
        <v>0</v>
      </c>
      <c r="AG40" s="24">
        <f>ROUND(IF(AQ40="2",BI40,0),2)</f>
        <v>0</v>
      </c>
      <c r="AH40" s="24">
        <f>ROUND(IF(AQ40="0",BJ40,0),2)</f>
        <v>0</v>
      </c>
      <c r="AI40" s="10" t="s">
        <v>51</v>
      </c>
      <c r="AJ40" s="37">
        <f>IF(AN40=0,J40,0)</f>
        <v>0</v>
      </c>
      <c r="AK40" s="37">
        <f>IF(AN40=12,J40,0)</f>
        <v>0</v>
      </c>
      <c r="AL40" s="37">
        <f>IF(AN40=21,J40,0)</f>
        <v>0</v>
      </c>
      <c r="AN40" s="24">
        <v>21</v>
      </c>
      <c r="AO40" s="24">
        <f>G40*1</f>
        <v>0</v>
      </c>
      <c r="AP40" s="24">
        <f>G40*(1-1)</f>
        <v>0</v>
      </c>
      <c r="AQ40" s="39" t="s">
        <v>91</v>
      </c>
      <c r="AV40" s="24">
        <f>ROUND(AW40+AX40,2)</f>
        <v>0</v>
      </c>
      <c r="AW40" s="24">
        <f>ROUND(F40*AO40,2)</f>
        <v>0</v>
      </c>
      <c r="AX40" s="24">
        <f>ROUND(F40*AP40,2)</f>
        <v>0</v>
      </c>
      <c r="AY40" s="26" t="s">
        <v>92</v>
      </c>
      <c r="AZ40" s="26" t="s">
        <v>93</v>
      </c>
      <c r="BA40" s="10" t="s">
        <v>61</v>
      </c>
      <c r="BC40" s="24">
        <f>AW40+AX40</f>
        <v>0</v>
      </c>
      <c r="BD40" s="24">
        <f>G40/(100-BE40)*100</f>
        <v>0</v>
      </c>
      <c r="BE40" s="24">
        <v>0</v>
      </c>
      <c r="BF40" s="24">
        <f>40</f>
        <v>40</v>
      </c>
      <c r="BH40" s="37">
        <f>F40*AO40</f>
        <v>0</v>
      </c>
      <c r="BI40" s="37">
        <f>F40*AP40</f>
        <v>0</v>
      </c>
      <c r="BJ40" s="37">
        <f>F40*G40</f>
        <v>0</v>
      </c>
      <c r="BK40" s="37"/>
      <c r="BL40" s="24">
        <v>784</v>
      </c>
      <c r="BW40" s="24">
        <v>21</v>
      </c>
      <c r="BX40" s="36" t="s">
        <v>111</v>
      </c>
    </row>
    <row r="41" spans="1:76" ht="25.5" x14ac:dyDescent="0.25">
      <c r="A41" s="27"/>
      <c r="B41" s="29" t="s">
        <v>63</v>
      </c>
      <c r="C41" s="125" t="s">
        <v>112</v>
      </c>
      <c r="D41" s="126"/>
      <c r="E41" s="126"/>
      <c r="F41" s="126"/>
      <c r="G41" s="126"/>
      <c r="H41" s="126"/>
      <c r="I41" s="126"/>
      <c r="J41" s="126"/>
      <c r="K41" s="127"/>
      <c r="BX41" s="40" t="s">
        <v>112</v>
      </c>
    </row>
    <row r="42" spans="1:76" x14ac:dyDescent="0.25">
      <c r="A42" s="30" t="s">
        <v>51</v>
      </c>
      <c r="B42" s="31" t="s">
        <v>113</v>
      </c>
      <c r="C42" s="121" t="s">
        <v>114</v>
      </c>
      <c r="D42" s="122"/>
      <c r="E42" s="32" t="s">
        <v>4</v>
      </c>
      <c r="F42" s="32" t="s">
        <v>4</v>
      </c>
      <c r="G42" s="32" t="s">
        <v>4</v>
      </c>
      <c r="H42" s="1">
        <f>SUM(H43:H49)</f>
        <v>0</v>
      </c>
      <c r="I42" s="1">
        <f>SUM(I43:I49)</f>
        <v>0</v>
      </c>
      <c r="J42" s="1">
        <f>SUM(J43:J49)</f>
        <v>0</v>
      </c>
      <c r="K42" s="33" t="s">
        <v>51</v>
      </c>
      <c r="AI42" s="10" t="s">
        <v>51</v>
      </c>
      <c r="AS42" s="1">
        <f>SUM(AJ43:AJ49)</f>
        <v>0</v>
      </c>
      <c r="AT42" s="1">
        <f>SUM(AK43:AK49)</f>
        <v>0</v>
      </c>
      <c r="AU42" s="1">
        <f>SUM(AL43:AL49)</f>
        <v>0</v>
      </c>
    </row>
    <row r="43" spans="1:76" x14ac:dyDescent="0.25">
      <c r="A43" s="2" t="s">
        <v>115</v>
      </c>
      <c r="B43" s="3" t="s">
        <v>116</v>
      </c>
      <c r="C43" s="69" t="s">
        <v>117</v>
      </c>
      <c r="D43" s="70"/>
      <c r="E43" s="3" t="s">
        <v>118</v>
      </c>
      <c r="F43" s="24">
        <v>2</v>
      </c>
      <c r="G43" s="24">
        <v>0</v>
      </c>
      <c r="H43" s="24">
        <f>ROUND(F43*AO43,2)</f>
        <v>0</v>
      </c>
      <c r="I43" s="24">
        <f>ROUND(F43*AP43,2)</f>
        <v>0</v>
      </c>
      <c r="J43" s="24">
        <f>ROUND(F43*G43,2)</f>
        <v>0</v>
      </c>
      <c r="K43" s="25" t="s">
        <v>58</v>
      </c>
      <c r="Z43" s="24">
        <f>ROUND(IF(AQ43="5",BJ43,0),2)</f>
        <v>0</v>
      </c>
      <c r="AB43" s="24">
        <f>ROUND(IF(AQ43="1",BH43,0),2)</f>
        <v>0</v>
      </c>
      <c r="AC43" s="24">
        <f>ROUND(IF(AQ43="1",BI43,0),2)</f>
        <v>0</v>
      </c>
      <c r="AD43" s="24">
        <f>ROUND(IF(AQ43="7",BH43,0),2)</f>
        <v>0</v>
      </c>
      <c r="AE43" s="24">
        <f>ROUND(IF(AQ43="7",BI43,0),2)</f>
        <v>0</v>
      </c>
      <c r="AF43" s="24">
        <f>ROUND(IF(AQ43="2",BH43,0),2)</f>
        <v>0</v>
      </c>
      <c r="AG43" s="24">
        <f>ROUND(IF(AQ43="2",BI43,0),2)</f>
        <v>0</v>
      </c>
      <c r="AH43" s="24">
        <f>ROUND(IF(AQ43="0",BJ43,0),2)</f>
        <v>0</v>
      </c>
      <c r="AI43" s="10" t="s">
        <v>51</v>
      </c>
      <c r="AJ43" s="24">
        <f>IF(AN43=0,J43,0)</f>
        <v>0</v>
      </c>
      <c r="AK43" s="24">
        <f>IF(AN43=12,J43,0)</f>
        <v>0</v>
      </c>
      <c r="AL43" s="24">
        <f>IF(AN43=21,J43,0)</f>
        <v>0</v>
      </c>
      <c r="AN43" s="24">
        <v>21</v>
      </c>
      <c r="AO43" s="24">
        <f>G43*0</f>
        <v>0</v>
      </c>
      <c r="AP43" s="24">
        <f>G43*(1-0)</f>
        <v>0</v>
      </c>
      <c r="AQ43" s="26" t="s">
        <v>54</v>
      </c>
      <c r="AV43" s="24">
        <f>ROUND(AW43+AX43,2)</f>
        <v>0</v>
      </c>
      <c r="AW43" s="24">
        <f>ROUND(F43*AO43,2)</f>
        <v>0</v>
      </c>
      <c r="AX43" s="24">
        <f>ROUND(F43*AP43,2)</f>
        <v>0</v>
      </c>
      <c r="AY43" s="26" t="s">
        <v>119</v>
      </c>
      <c r="AZ43" s="26" t="s">
        <v>120</v>
      </c>
      <c r="BA43" s="10" t="s">
        <v>61</v>
      </c>
      <c r="BC43" s="24">
        <f>AW43+AX43</f>
        <v>0</v>
      </c>
      <c r="BD43" s="24">
        <f>G43/(100-BE43)*100</f>
        <v>0</v>
      </c>
      <c r="BE43" s="24">
        <v>0</v>
      </c>
      <c r="BF43" s="24">
        <f>43</f>
        <v>43</v>
      </c>
      <c r="BH43" s="24">
        <f>F43*AO43</f>
        <v>0</v>
      </c>
      <c r="BI43" s="24">
        <f>F43*AP43</f>
        <v>0</v>
      </c>
      <c r="BJ43" s="24">
        <f>F43*G43</f>
        <v>0</v>
      </c>
      <c r="BK43" s="24"/>
      <c r="BL43" s="24">
        <v>94</v>
      </c>
      <c r="BW43" s="24">
        <v>21</v>
      </c>
      <c r="BX43" s="4" t="s">
        <v>117</v>
      </c>
    </row>
    <row r="44" spans="1:76" ht="13.5" customHeight="1" x14ac:dyDescent="0.25">
      <c r="A44" s="27"/>
      <c r="C44" s="125" t="s">
        <v>121</v>
      </c>
      <c r="D44" s="126"/>
      <c r="E44" s="126"/>
      <c r="F44" s="126"/>
      <c r="G44" s="126"/>
      <c r="H44" s="126"/>
      <c r="I44" s="126"/>
      <c r="J44" s="126"/>
      <c r="K44" s="127"/>
    </row>
    <row r="45" spans="1:76" x14ac:dyDescent="0.25">
      <c r="A45" s="27"/>
      <c r="B45" s="29" t="s">
        <v>63</v>
      </c>
      <c r="C45" s="125" t="s">
        <v>122</v>
      </c>
      <c r="D45" s="126"/>
      <c r="E45" s="126"/>
      <c r="F45" s="126"/>
      <c r="G45" s="126"/>
      <c r="H45" s="126"/>
      <c r="I45" s="126"/>
      <c r="J45" s="126"/>
      <c r="K45" s="127"/>
      <c r="BX45" s="28" t="s">
        <v>122</v>
      </c>
    </row>
    <row r="46" spans="1:76" x14ac:dyDescent="0.25">
      <c r="A46" s="2" t="s">
        <v>123</v>
      </c>
      <c r="B46" s="3" t="s">
        <v>124</v>
      </c>
      <c r="C46" s="69" t="s">
        <v>125</v>
      </c>
      <c r="D46" s="70"/>
      <c r="E46" s="3" t="s">
        <v>126</v>
      </c>
      <c r="F46" s="24">
        <v>60</v>
      </c>
      <c r="G46" s="24">
        <v>0</v>
      </c>
      <c r="H46" s="24">
        <f>ROUND(F46*AO46,2)</f>
        <v>0</v>
      </c>
      <c r="I46" s="24">
        <f>ROUND(F46*AP46,2)</f>
        <v>0</v>
      </c>
      <c r="J46" s="24">
        <f>ROUND(F46*G46,2)</f>
        <v>0</v>
      </c>
      <c r="K46" s="25" t="s">
        <v>58</v>
      </c>
      <c r="Z46" s="24">
        <f>ROUND(IF(AQ46="5",BJ46,0),2)</f>
        <v>0</v>
      </c>
      <c r="AB46" s="24">
        <f>ROUND(IF(AQ46="1",BH46,0),2)</f>
        <v>0</v>
      </c>
      <c r="AC46" s="24">
        <f>ROUND(IF(AQ46="1",BI46,0),2)</f>
        <v>0</v>
      </c>
      <c r="AD46" s="24">
        <f>ROUND(IF(AQ46="7",BH46,0),2)</f>
        <v>0</v>
      </c>
      <c r="AE46" s="24">
        <f>ROUND(IF(AQ46="7",BI46,0),2)</f>
        <v>0</v>
      </c>
      <c r="AF46" s="24">
        <f>ROUND(IF(AQ46="2",BH46,0),2)</f>
        <v>0</v>
      </c>
      <c r="AG46" s="24">
        <f>ROUND(IF(AQ46="2",BI46,0),2)</f>
        <v>0</v>
      </c>
      <c r="AH46" s="24">
        <f>ROUND(IF(AQ46="0",BJ46,0),2)</f>
        <v>0</v>
      </c>
      <c r="AI46" s="10" t="s">
        <v>51</v>
      </c>
      <c r="AJ46" s="24">
        <f>IF(AN46=0,J46,0)</f>
        <v>0</v>
      </c>
      <c r="AK46" s="24">
        <f>IF(AN46=12,J46,0)</f>
        <v>0</v>
      </c>
      <c r="AL46" s="24">
        <f>IF(AN46=21,J46,0)</f>
        <v>0</v>
      </c>
      <c r="AN46" s="24">
        <v>21</v>
      </c>
      <c r="AO46" s="24">
        <f>G46*0</f>
        <v>0</v>
      </c>
      <c r="AP46" s="24">
        <f>G46*(1-0)</f>
        <v>0</v>
      </c>
      <c r="AQ46" s="26" t="s">
        <v>54</v>
      </c>
      <c r="AV46" s="24">
        <f>ROUND(AW46+AX46,2)</f>
        <v>0</v>
      </c>
      <c r="AW46" s="24">
        <f>ROUND(F46*AO46,2)</f>
        <v>0</v>
      </c>
      <c r="AX46" s="24">
        <f>ROUND(F46*AP46,2)</f>
        <v>0</v>
      </c>
      <c r="AY46" s="26" t="s">
        <v>119</v>
      </c>
      <c r="AZ46" s="26" t="s">
        <v>120</v>
      </c>
      <c r="BA46" s="10" t="s">
        <v>61</v>
      </c>
      <c r="BC46" s="24">
        <f>AW46+AX46</f>
        <v>0</v>
      </c>
      <c r="BD46" s="24">
        <f>G46/(100-BE46)*100</f>
        <v>0</v>
      </c>
      <c r="BE46" s="24">
        <v>0</v>
      </c>
      <c r="BF46" s="24">
        <f>46</f>
        <v>46</v>
      </c>
      <c r="BH46" s="24">
        <f>F46*AO46</f>
        <v>0</v>
      </c>
      <c r="BI46" s="24">
        <f>F46*AP46</f>
        <v>0</v>
      </c>
      <c r="BJ46" s="24">
        <f>F46*G46</f>
        <v>0</v>
      </c>
      <c r="BK46" s="24"/>
      <c r="BL46" s="24">
        <v>94</v>
      </c>
      <c r="BW46" s="24">
        <v>21</v>
      </c>
      <c r="BX46" s="4" t="s">
        <v>125</v>
      </c>
    </row>
    <row r="47" spans="1:76" ht="13.5" customHeight="1" x14ac:dyDescent="0.25">
      <c r="A47" s="27"/>
      <c r="C47" s="125" t="s">
        <v>121</v>
      </c>
      <c r="D47" s="126"/>
      <c r="E47" s="126"/>
      <c r="F47" s="126"/>
      <c r="G47" s="126"/>
      <c r="H47" s="126"/>
      <c r="I47" s="126"/>
      <c r="J47" s="126"/>
      <c r="K47" s="127"/>
    </row>
    <row r="48" spans="1:76" x14ac:dyDescent="0.25">
      <c r="A48" s="27"/>
      <c r="B48" s="29" t="s">
        <v>63</v>
      </c>
      <c r="C48" s="125" t="s">
        <v>127</v>
      </c>
      <c r="D48" s="126"/>
      <c r="E48" s="126"/>
      <c r="F48" s="126"/>
      <c r="G48" s="126"/>
      <c r="H48" s="126"/>
      <c r="I48" s="126"/>
      <c r="J48" s="126"/>
      <c r="K48" s="127"/>
      <c r="BX48" s="28" t="s">
        <v>127</v>
      </c>
    </row>
    <row r="49" spans="1:76" x14ac:dyDescent="0.25">
      <c r="A49" s="2" t="s">
        <v>128</v>
      </c>
      <c r="B49" s="3" t="s">
        <v>129</v>
      </c>
      <c r="C49" s="69" t="s">
        <v>130</v>
      </c>
      <c r="D49" s="70"/>
      <c r="E49" s="3" t="s">
        <v>118</v>
      </c>
      <c r="F49" s="24">
        <v>2</v>
      </c>
      <c r="G49" s="24">
        <v>0</v>
      </c>
      <c r="H49" s="24">
        <f>ROUND(F49*AO49,2)</f>
        <v>0</v>
      </c>
      <c r="I49" s="24">
        <f>ROUND(F49*AP49,2)</f>
        <v>0</v>
      </c>
      <c r="J49" s="24">
        <f>ROUND(F49*G49,2)</f>
        <v>0</v>
      </c>
      <c r="K49" s="25" t="s">
        <v>58</v>
      </c>
      <c r="Z49" s="24">
        <f>ROUND(IF(AQ49="5",BJ49,0),2)</f>
        <v>0</v>
      </c>
      <c r="AB49" s="24">
        <f>ROUND(IF(AQ49="1",BH49,0),2)</f>
        <v>0</v>
      </c>
      <c r="AC49" s="24">
        <f>ROUND(IF(AQ49="1",BI49,0),2)</f>
        <v>0</v>
      </c>
      <c r="AD49" s="24">
        <f>ROUND(IF(AQ49="7",BH49,0),2)</f>
        <v>0</v>
      </c>
      <c r="AE49" s="24">
        <f>ROUND(IF(AQ49="7",BI49,0),2)</f>
        <v>0</v>
      </c>
      <c r="AF49" s="24">
        <f>ROUND(IF(AQ49="2",BH49,0),2)</f>
        <v>0</v>
      </c>
      <c r="AG49" s="24">
        <f>ROUND(IF(AQ49="2",BI49,0),2)</f>
        <v>0</v>
      </c>
      <c r="AH49" s="24">
        <f>ROUND(IF(AQ49="0",BJ49,0),2)</f>
        <v>0</v>
      </c>
      <c r="AI49" s="10" t="s">
        <v>51</v>
      </c>
      <c r="AJ49" s="24">
        <f>IF(AN49=0,J49,0)</f>
        <v>0</v>
      </c>
      <c r="AK49" s="24">
        <f>IF(AN49=12,J49,0)</f>
        <v>0</v>
      </c>
      <c r="AL49" s="24">
        <f>IF(AN49=21,J49,0)</f>
        <v>0</v>
      </c>
      <c r="AN49" s="24">
        <v>21</v>
      </c>
      <c r="AO49" s="24">
        <f>G49*0</f>
        <v>0</v>
      </c>
      <c r="AP49" s="24">
        <f>G49*(1-0)</f>
        <v>0</v>
      </c>
      <c r="AQ49" s="26" t="s">
        <v>54</v>
      </c>
      <c r="AV49" s="24">
        <f>ROUND(AW49+AX49,2)</f>
        <v>0</v>
      </c>
      <c r="AW49" s="24">
        <f>ROUND(F49*AO49,2)</f>
        <v>0</v>
      </c>
      <c r="AX49" s="24">
        <f>ROUND(F49*AP49,2)</f>
        <v>0</v>
      </c>
      <c r="AY49" s="26" t="s">
        <v>119</v>
      </c>
      <c r="AZ49" s="26" t="s">
        <v>120</v>
      </c>
      <c r="BA49" s="10" t="s">
        <v>61</v>
      </c>
      <c r="BC49" s="24">
        <f>AW49+AX49</f>
        <v>0</v>
      </c>
      <c r="BD49" s="24">
        <f>G49/(100-BE49)*100</f>
        <v>0</v>
      </c>
      <c r="BE49" s="24">
        <v>0</v>
      </c>
      <c r="BF49" s="24">
        <f>49</f>
        <v>49</v>
      </c>
      <c r="BH49" s="24">
        <f>F49*AO49</f>
        <v>0</v>
      </c>
      <c r="BI49" s="24">
        <f>F49*AP49</f>
        <v>0</v>
      </c>
      <c r="BJ49" s="24">
        <f>F49*G49</f>
        <v>0</v>
      </c>
      <c r="BK49" s="24"/>
      <c r="BL49" s="24">
        <v>94</v>
      </c>
      <c r="BW49" s="24">
        <v>21</v>
      </c>
      <c r="BX49" s="4" t="s">
        <v>130</v>
      </c>
    </row>
    <row r="50" spans="1:76" ht="13.5" customHeight="1" x14ac:dyDescent="0.25">
      <c r="A50" s="27"/>
      <c r="C50" s="125" t="s">
        <v>131</v>
      </c>
      <c r="D50" s="126"/>
      <c r="E50" s="126"/>
      <c r="F50" s="126"/>
      <c r="G50" s="126"/>
      <c r="H50" s="126"/>
      <c r="I50" s="126"/>
      <c r="J50" s="126"/>
      <c r="K50" s="127"/>
    </row>
    <row r="51" spans="1:76" x14ac:dyDescent="0.25">
      <c r="A51" s="27"/>
      <c r="B51" s="29" t="s">
        <v>63</v>
      </c>
      <c r="C51" s="125" t="s">
        <v>132</v>
      </c>
      <c r="D51" s="126"/>
      <c r="E51" s="126"/>
      <c r="F51" s="126"/>
      <c r="G51" s="126"/>
      <c r="H51" s="126"/>
      <c r="I51" s="126"/>
      <c r="J51" s="126"/>
      <c r="K51" s="127"/>
      <c r="BX51" s="28" t="s">
        <v>132</v>
      </c>
    </row>
    <row r="52" spans="1:76" x14ac:dyDescent="0.25">
      <c r="A52" s="30" t="s">
        <v>51</v>
      </c>
      <c r="B52" s="31" t="s">
        <v>133</v>
      </c>
      <c r="C52" s="121" t="s">
        <v>134</v>
      </c>
      <c r="D52" s="122"/>
      <c r="E52" s="32" t="s">
        <v>4</v>
      </c>
      <c r="F52" s="32" t="s">
        <v>4</v>
      </c>
      <c r="G52" s="32" t="s">
        <v>4</v>
      </c>
      <c r="H52" s="1">
        <f>SUM(H53:H56)</f>
        <v>0</v>
      </c>
      <c r="I52" s="1">
        <f>SUM(I53:I56)</f>
        <v>0</v>
      </c>
      <c r="J52" s="1">
        <f>SUM(J53:J56)</f>
        <v>0</v>
      </c>
      <c r="K52" s="33" t="s">
        <v>51</v>
      </c>
      <c r="AI52" s="10" t="s">
        <v>51</v>
      </c>
      <c r="AS52" s="1">
        <f>SUM(AJ53:AJ56)</f>
        <v>0</v>
      </c>
      <c r="AT52" s="1">
        <f>SUM(AK53:AK56)</f>
        <v>0</v>
      </c>
      <c r="AU52" s="1">
        <f>SUM(AL53:AL56)</f>
        <v>0</v>
      </c>
    </row>
    <row r="53" spans="1:76" x14ac:dyDescent="0.25">
      <c r="A53" s="2" t="s">
        <v>135</v>
      </c>
      <c r="B53" s="3" t="s">
        <v>136</v>
      </c>
      <c r="C53" s="69" t="s">
        <v>137</v>
      </c>
      <c r="D53" s="70"/>
      <c r="E53" s="3" t="s">
        <v>57</v>
      </c>
      <c r="F53" s="24">
        <v>162</v>
      </c>
      <c r="G53" s="24">
        <v>0</v>
      </c>
      <c r="H53" s="24">
        <f>ROUND(F53*AO53,2)</f>
        <v>0</v>
      </c>
      <c r="I53" s="24">
        <f>ROUND(F53*AP53,2)</f>
        <v>0</v>
      </c>
      <c r="J53" s="24">
        <f>ROUND(F53*G53,2)</f>
        <v>0</v>
      </c>
      <c r="K53" s="25" t="s">
        <v>58</v>
      </c>
      <c r="Z53" s="24">
        <f>ROUND(IF(AQ53="5",BJ53,0),2)</f>
        <v>0</v>
      </c>
      <c r="AB53" s="24">
        <f>ROUND(IF(AQ53="1",BH53,0),2)</f>
        <v>0</v>
      </c>
      <c r="AC53" s="24">
        <f>ROUND(IF(AQ53="1",BI53,0),2)</f>
        <v>0</v>
      </c>
      <c r="AD53" s="24">
        <f>ROUND(IF(AQ53="7",BH53,0),2)</f>
        <v>0</v>
      </c>
      <c r="AE53" s="24">
        <f>ROUND(IF(AQ53="7",BI53,0),2)</f>
        <v>0</v>
      </c>
      <c r="AF53" s="24">
        <f>ROUND(IF(AQ53="2",BH53,0),2)</f>
        <v>0</v>
      </c>
      <c r="AG53" s="24">
        <f>ROUND(IF(AQ53="2",BI53,0),2)</f>
        <v>0</v>
      </c>
      <c r="AH53" s="24">
        <f>ROUND(IF(AQ53="0",BJ53,0),2)</f>
        <v>0</v>
      </c>
      <c r="AI53" s="10" t="s">
        <v>51</v>
      </c>
      <c r="AJ53" s="24">
        <f>IF(AN53=0,J53,0)</f>
        <v>0</v>
      </c>
      <c r="AK53" s="24">
        <f>IF(AN53=12,J53,0)</f>
        <v>0</v>
      </c>
      <c r="AL53" s="24">
        <f>IF(AN53=21,J53,0)</f>
        <v>0</v>
      </c>
      <c r="AN53" s="24">
        <v>21</v>
      </c>
      <c r="AO53" s="24">
        <f>G53*0</f>
        <v>0</v>
      </c>
      <c r="AP53" s="24">
        <f>G53*(1-0)</f>
        <v>0</v>
      </c>
      <c r="AQ53" s="26" t="s">
        <v>54</v>
      </c>
      <c r="AV53" s="24">
        <f>ROUND(AW53+AX53,2)</f>
        <v>0</v>
      </c>
      <c r="AW53" s="24">
        <f>ROUND(F53*AO53,2)</f>
        <v>0</v>
      </c>
      <c r="AX53" s="24">
        <f>ROUND(F53*AP53,2)</f>
        <v>0</v>
      </c>
      <c r="AY53" s="26" t="s">
        <v>138</v>
      </c>
      <c r="AZ53" s="26" t="s">
        <v>120</v>
      </c>
      <c r="BA53" s="10" t="s">
        <v>61</v>
      </c>
      <c r="BC53" s="24">
        <f>AW53+AX53</f>
        <v>0</v>
      </c>
      <c r="BD53" s="24">
        <f>G53/(100-BE53)*100</f>
        <v>0</v>
      </c>
      <c r="BE53" s="24">
        <v>0</v>
      </c>
      <c r="BF53" s="24">
        <f>53</f>
        <v>53</v>
      </c>
      <c r="BH53" s="24">
        <f>F53*AO53</f>
        <v>0</v>
      </c>
      <c r="BI53" s="24">
        <f>F53*AP53</f>
        <v>0</v>
      </c>
      <c r="BJ53" s="24">
        <f>F53*G53</f>
        <v>0</v>
      </c>
      <c r="BK53" s="24"/>
      <c r="BL53" s="24">
        <v>97</v>
      </c>
      <c r="BW53" s="24">
        <v>21</v>
      </c>
      <c r="BX53" s="4" t="s">
        <v>137</v>
      </c>
    </row>
    <row r="54" spans="1:76" ht="13.5" customHeight="1" x14ac:dyDescent="0.25">
      <c r="A54" s="27"/>
      <c r="C54" s="125" t="s">
        <v>139</v>
      </c>
      <c r="D54" s="126"/>
      <c r="E54" s="126"/>
      <c r="F54" s="126"/>
      <c r="G54" s="126"/>
      <c r="H54" s="126"/>
      <c r="I54" s="126"/>
      <c r="J54" s="126"/>
      <c r="K54" s="127"/>
    </row>
    <row r="55" spans="1:76" ht="25.5" x14ac:dyDescent="0.25">
      <c r="A55" s="27"/>
      <c r="B55" s="29" t="s">
        <v>63</v>
      </c>
      <c r="C55" s="125" t="s">
        <v>140</v>
      </c>
      <c r="D55" s="126"/>
      <c r="E55" s="126"/>
      <c r="F55" s="126"/>
      <c r="G55" s="126"/>
      <c r="H55" s="126"/>
      <c r="I55" s="126"/>
      <c r="J55" s="126"/>
      <c r="K55" s="127"/>
      <c r="BX55" s="28" t="s">
        <v>140</v>
      </c>
    </row>
    <row r="56" spans="1:76" x14ac:dyDescent="0.25">
      <c r="A56" s="2" t="s">
        <v>141</v>
      </c>
      <c r="B56" s="3" t="s">
        <v>142</v>
      </c>
      <c r="C56" s="69" t="s">
        <v>143</v>
      </c>
      <c r="D56" s="70"/>
      <c r="E56" s="3" t="s">
        <v>144</v>
      </c>
      <c r="F56" s="24">
        <v>12</v>
      </c>
      <c r="G56" s="24">
        <v>0</v>
      </c>
      <c r="H56" s="24">
        <f>ROUND(F56*AO56,2)</f>
        <v>0</v>
      </c>
      <c r="I56" s="24">
        <f>ROUND(F56*AP56,2)</f>
        <v>0</v>
      </c>
      <c r="J56" s="24">
        <f>ROUND(F56*G56,2)</f>
        <v>0</v>
      </c>
      <c r="K56" s="25" t="s">
        <v>58</v>
      </c>
      <c r="Z56" s="24">
        <f>ROUND(IF(AQ56="5",BJ56,0),2)</f>
        <v>0</v>
      </c>
      <c r="AB56" s="24">
        <f>ROUND(IF(AQ56="1",BH56,0),2)</f>
        <v>0</v>
      </c>
      <c r="AC56" s="24">
        <f>ROUND(IF(AQ56="1",BI56,0),2)</f>
        <v>0</v>
      </c>
      <c r="AD56" s="24">
        <f>ROUND(IF(AQ56="7",BH56,0),2)</f>
        <v>0</v>
      </c>
      <c r="AE56" s="24">
        <f>ROUND(IF(AQ56="7",BI56,0),2)</f>
        <v>0</v>
      </c>
      <c r="AF56" s="24">
        <f>ROUND(IF(AQ56="2",BH56,0),2)</f>
        <v>0</v>
      </c>
      <c r="AG56" s="24">
        <f>ROUND(IF(AQ56="2",BI56,0),2)</f>
        <v>0</v>
      </c>
      <c r="AH56" s="24">
        <f>ROUND(IF(AQ56="0",BJ56,0),2)</f>
        <v>0</v>
      </c>
      <c r="AI56" s="10" t="s">
        <v>51</v>
      </c>
      <c r="AJ56" s="24">
        <f>IF(AN56=0,J56,0)</f>
        <v>0</v>
      </c>
      <c r="AK56" s="24">
        <f>IF(AN56=12,J56,0)</f>
        <v>0</v>
      </c>
      <c r="AL56" s="24">
        <f>IF(AN56=21,J56,0)</f>
        <v>0</v>
      </c>
      <c r="AN56" s="24">
        <v>21</v>
      </c>
      <c r="AO56" s="24">
        <f>G56*0</f>
        <v>0</v>
      </c>
      <c r="AP56" s="24">
        <f>G56*(1-0)</f>
        <v>0</v>
      </c>
      <c r="AQ56" s="26" t="s">
        <v>54</v>
      </c>
      <c r="AV56" s="24">
        <f>ROUND(AW56+AX56,2)</f>
        <v>0</v>
      </c>
      <c r="AW56" s="24">
        <f>ROUND(F56*AO56,2)</f>
        <v>0</v>
      </c>
      <c r="AX56" s="24">
        <f>ROUND(F56*AP56,2)</f>
        <v>0</v>
      </c>
      <c r="AY56" s="26" t="s">
        <v>138</v>
      </c>
      <c r="AZ56" s="26" t="s">
        <v>120</v>
      </c>
      <c r="BA56" s="10" t="s">
        <v>61</v>
      </c>
      <c r="BC56" s="24">
        <f>AW56+AX56</f>
        <v>0</v>
      </c>
      <c r="BD56" s="24">
        <f>G56/(100-BE56)*100</f>
        <v>0</v>
      </c>
      <c r="BE56" s="24">
        <v>0</v>
      </c>
      <c r="BF56" s="24">
        <f>56</f>
        <v>56</v>
      </c>
      <c r="BH56" s="24">
        <f>F56*AO56</f>
        <v>0</v>
      </c>
      <c r="BI56" s="24">
        <f>F56*AP56</f>
        <v>0</v>
      </c>
      <c r="BJ56" s="24">
        <f>F56*G56</f>
        <v>0</v>
      </c>
      <c r="BK56" s="24"/>
      <c r="BL56" s="24">
        <v>97</v>
      </c>
      <c r="BW56" s="24">
        <v>21</v>
      </c>
      <c r="BX56" s="4" t="s">
        <v>143</v>
      </c>
    </row>
    <row r="57" spans="1:76" ht="38.25" x14ac:dyDescent="0.25">
      <c r="A57" s="27"/>
      <c r="B57" s="29" t="s">
        <v>63</v>
      </c>
      <c r="C57" s="125" t="s">
        <v>145</v>
      </c>
      <c r="D57" s="126"/>
      <c r="E57" s="126"/>
      <c r="F57" s="126"/>
      <c r="G57" s="126"/>
      <c r="H57" s="126"/>
      <c r="I57" s="126"/>
      <c r="J57" s="126"/>
      <c r="K57" s="127"/>
      <c r="BX57" s="28" t="s">
        <v>145</v>
      </c>
    </row>
    <row r="58" spans="1:76" x14ac:dyDescent="0.25">
      <c r="A58" s="30" t="s">
        <v>51</v>
      </c>
      <c r="B58" s="31" t="s">
        <v>146</v>
      </c>
      <c r="C58" s="121" t="s">
        <v>147</v>
      </c>
      <c r="D58" s="122"/>
      <c r="E58" s="32" t="s">
        <v>4</v>
      </c>
      <c r="F58" s="32" t="s">
        <v>4</v>
      </c>
      <c r="G58" s="32" t="s">
        <v>4</v>
      </c>
      <c r="H58" s="1">
        <f>SUM(H59:H59)</f>
        <v>0</v>
      </c>
      <c r="I58" s="1">
        <f>SUM(I59:I59)</f>
        <v>0</v>
      </c>
      <c r="J58" s="1">
        <f>SUM(J59:J59)</f>
        <v>0</v>
      </c>
      <c r="K58" s="33" t="s">
        <v>51</v>
      </c>
      <c r="AI58" s="10" t="s">
        <v>51</v>
      </c>
      <c r="AS58" s="1">
        <f>SUM(AJ59:AJ59)</f>
        <v>0</v>
      </c>
      <c r="AT58" s="1">
        <f>SUM(AK59:AK59)</f>
        <v>0</v>
      </c>
      <c r="AU58" s="1">
        <f>SUM(AL59:AL59)</f>
        <v>0</v>
      </c>
    </row>
    <row r="59" spans="1:76" x14ac:dyDescent="0.25">
      <c r="A59" s="2" t="s">
        <v>148</v>
      </c>
      <c r="B59" s="3" t="s">
        <v>149</v>
      </c>
      <c r="C59" s="69" t="s">
        <v>150</v>
      </c>
      <c r="D59" s="70"/>
      <c r="E59" s="3" t="s">
        <v>151</v>
      </c>
      <c r="F59" s="24">
        <v>1</v>
      </c>
      <c r="G59" s="24">
        <v>0</v>
      </c>
      <c r="H59" s="24">
        <f>ROUND(F59*AO59,2)</f>
        <v>0</v>
      </c>
      <c r="I59" s="24">
        <f>ROUND(F59*AP59,2)</f>
        <v>0</v>
      </c>
      <c r="J59" s="24">
        <f>ROUND(F59*G59,2)</f>
        <v>0</v>
      </c>
      <c r="K59" s="25" t="s">
        <v>152</v>
      </c>
      <c r="Z59" s="24">
        <f>ROUND(IF(AQ59="5",BJ59,0),2)</f>
        <v>0</v>
      </c>
      <c r="AB59" s="24">
        <f>ROUND(IF(AQ59="1",BH59,0),2)</f>
        <v>0</v>
      </c>
      <c r="AC59" s="24">
        <f>ROUND(IF(AQ59="1",BI59,0),2)</f>
        <v>0</v>
      </c>
      <c r="AD59" s="24">
        <f>ROUND(IF(AQ59="7",BH59,0),2)</f>
        <v>0</v>
      </c>
      <c r="AE59" s="24">
        <f>ROUND(IF(AQ59="7",BI59,0),2)</f>
        <v>0</v>
      </c>
      <c r="AF59" s="24">
        <f>ROUND(IF(AQ59="2",BH59,0),2)</f>
        <v>0</v>
      </c>
      <c r="AG59" s="24">
        <f>ROUND(IF(AQ59="2",BI59,0),2)</f>
        <v>0</v>
      </c>
      <c r="AH59" s="24">
        <f>ROUND(IF(AQ59="0",BJ59,0),2)</f>
        <v>0</v>
      </c>
      <c r="AI59" s="10" t="s">
        <v>51</v>
      </c>
      <c r="AJ59" s="24">
        <f>IF(AN59=0,J59,0)</f>
        <v>0</v>
      </c>
      <c r="AK59" s="24">
        <f>IF(AN59=12,J59,0)</f>
        <v>0</v>
      </c>
      <c r="AL59" s="24">
        <f>IF(AN59=21,J59,0)</f>
        <v>0</v>
      </c>
      <c r="AN59" s="24">
        <v>21</v>
      </c>
      <c r="AO59" s="24">
        <f>G59*0</f>
        <v>0</v>
      </c>
      <c r="AP59" s="24">
        <f>G59*(1-0)</f>
        <v>0</v>
      </c>
      <c r="AQ59" s="26" t="s">
        <v>67</v>
      </c>
      <c r="AV59" s="24">
        <f>ROUND(AW59+AX59,2)</f>
        <v>0</v>
      </c>
      <c r="AW59" s="24">
        <f>ROUND(F59*AO59,2)</f>
        <v>0</v>
      </c>
      <c r="AX59" s="24">
        <f>ROUND(F59*AP59,2)</f>
        <v>0</v>
      </c>
      <c r="AY59" s="26" t="s">
        <v>153</v>
      </c>
      <c r="AZ59" s="26" t="s">
        <v>120</v>
      </c>
      <c r="BA59" s="10" t="s">
        <v>61</v>
      </c>
      <c r="BC59" s="24">
        <f>AW59+AX59</f>
        <v>0</v>
      </c>
      <c r="BD59" s="24">
        <f>G59/(100-BE59)*100</f>
        <v>0</v>
      </c>
      <c r="BE59" s="24">
        <v>0</v>
      </c>
      <c r="BF59" s="24">
        <f>59</f>
        <v>59</v>
      </c>
      <c r="BH59" s="24">
        <f>F59*AO59</f>
        <v>0</v>
      </c>
      <c r="BI59" s="24">
        <f>F59*AP59</f>
        <v>0</v>
      </c>
      <c r="BJ59" s="24">
        <f>F59*G59</f>
        <v>0</v>
      </c>
      <c r="BK59" s="24"/>
      <c r="BL59" s="24"/>
      <c r="BW59" s="24">
        <v>21</v>
      </c>
      <c r="BX59" s="4" t="s">
        <v>150</v>
      </c>
    </row>
    <row r="60" spans="1:76" x14ac:dyDescent="0.25">
      <c r="A60" s="30" t="s">
        <v>51</v>
      </c>
      <c r="B60" s="31" t="s">
        <v>154</v>
      </c>
      <c r="C60" s="121" t="s">
        <v>155</v>
      </c>
      <c r="D60" s="122"/>
      <c r="E60" s="32" t="s">
        <v>4</v>
      </c>
      <c r="F60" s="32" t="s">
        <v>4</v>
      </c>
      <c r="G60" s="32" t="s">
        <v>4</v>
      </c>
      <c r="H60" s="1">
        <f>SUM(H61:H70)</f>
        <v>0</v>
      </c>
      <c r="I60" s="1">
        <f>SUM(I61:I70)</f>
        <v>0</v>
      </c>
      <c r="J60" s="1">
        <f>SUM(J61:J70)</f>
        <v>0</v>
      </c>
      <c r="K60" s="33" t="s">
        <v>51</v>
      </c>
      <c r="AI60" s="10" t="s">
        <v>51</v>
      </c>
      <c r="AS60" s="1">
        <f>SUM(AJ61:AJ70)</f>
        <v>0</v>
      </c>
      <c r="AT60" s="1">
        <f>SUM(AK61:AK70)</f>
        <v>0</v>
      </c>
      <c r="AU60" s="1">
        <f>SUM(AL61:AL70)</f>
        <v>0</v>
      </c>
    </row>
    <row r="61" spans="1:76" x14ac:dyDescent="0.25">
      <c r="A61" s="2" t="s">
        <v>156</v>
      </c>
      <c r="B61" s="3" t="s">
        <v>157</v>
      </c>
      <c r="C61" s="69" t="s">
        <v>158</v>
      </c>
      <c r="D61" s="70"/>
      <c r="E61" s="3" t="s">
        <v>159</v>
      </c>
      <c r="F61" s="24">
        <v>8.1533999999999995</v>
      </c>
      <c r="G61" s="24">
        <v>0</v>
      </c>
      <c r="H61" s="24">
        <f>ROUND(F61*AO61,2)</f>
        <v>0</v>
      </c>
      <c r="I61" s="24">
        <f>ROUND(F61*AP61,2)</f>
        <v>0</v>
      </c>
      <c r="J61" s="24">
        <f>ROUND(F61*G61,2)</f>
        <v>0</v>
      </c>
      <c r="K61" s="25" t="s">
        <v>58</v>
      </c>
      <c r="Z61" s="24">
        <f>ROUND(IF(AQ61="5",BJ61,0),2)</f>
        <v>0</v>
      </c>
      <c r="AB61" s="24">
        <f>ROUND(IF(AQ61="1",BH61,0),2)</f>
        <v>0</v>
      </c>
      <c r="AC61" s="24">
        <f>ROUND(IF(AQ61="1",BI61,0),2)</f>
        <v>0</v>
      </c>
      <c r="AD61" s="24">
        <f>ROUND(IF(AQ61="7",BH61,0),2)</f>
        <v>0</v>
      </c>
      <c r="AE61" s="24">
        <f>ROUND(IF(AQ61="7",BI61,0),2)</f>
        <v>0</v>
      </c>
      <c r="AF61" s="24">
        <f>ROUND(IF(AQ61="2",BH61,0),2)</f>
        <v>0</v>
      </c>
      <c r="AG61" s="24">
        <f>ROUND(IF(AQ61="2",BI61,0),2)</f>
        <v>0</v>
      </c>
      <c r="AH61" s="24">
        <f>ROUND(IF(AQ61="0",BJ61,0),2)</f>
        <v>0</v>
      </c>
      <c r="AI61" s="10" t="s">
        <v>51</v>
      </c>
      <c r="AJ61" s="24">
        <f>IF(AN61=0,J61,0)</f>
        <v>0</v>
      </c>
      <c r="AK61" s="24">
        <f>IF(AN61=12,J61,0)</f>
        <v>0</v>
      </c>
      <c r="AL61" s="24">
        <f>IF(AN61=21,J61,0)</f>
        <v>0</v>
      </c>
      <c r="AN61" s="24">
        <v>21</v>
      </c>
      <c r="AO61" s="24">
        <f>G61*0</f>
        <v>0</v>
      </c>
      <c r="AP61" s="24">
        <f>G61*(1-0)</f>
        <v>0</v>
      </c>
      <c r="AQ61" s="26" t="s">
        <v>81</v>
      </c>
      <c r="AV61" s="24">
        <f>ROUND(AW61+AX61,2)</f>
        <v>0</v>
      </c>
      <c r="AW61" s="24">
        <f>ROUND(F61*AO61,2)</f>
        <v>0</v>
      </c>
      <c r="AX61" s="24">
        <f>ROUND(F61*AP61,2)</f>
        <v>0</v>
      </c>
      <c r="AY61" s="26" t="s">
        <v>160</v>
      </c>
      <c r="AZ61" s="26" t="s">
        <v>120</v>
      </c>
      <c r="BA61" s="10" t="s">
        <v>61</v>
      </c>
      <c r="BC61" s="24">
        <f>AW61+AX61</f>
        <v>0</v>
      </c>
      <c r="BD61" s="24">
        <f>G61/(100-BE61)*100</f>
        <v>0</v>
      </c>
      <c r="BE61" s="24">
        <v>0</v>
      </c>
      <c r="BF61" s="24">
        <f>61</f>
        <v>61</v>
      </c>
      <c r="BH61" s="24">
        <f>F61*AO61</f>
        <v>0</v>
      </c>
      <c r="BI61" s="24">
        <f>F61*AP61</f>
        <v>0</v>
      </c>
      <c r="BJ61" s="24">
        <f>F61*G61</f>
        <v>0</v>
      </c>
      <c r="BK61" s="24"/>
      <c r="BL61" s="24"/>
      <c r="BW61" s="24">
        <v>21</v>
      </c>
      <c r="BX61" s="4" t="s">
        <v>158</v>
      </c>
    </row>
    <row r="62" spans="1:76" ht="38.25" x14ac:dyDescent="0.25">
      <c r="A62" s="27"/>
      <c r="B62" s="29" t="s">
        <v>63</v>
      </c>
      <c r="C62" s="125" t="s">
        <v>161</v>
      </c>
      <c r="D62" s="126"/>
      <c r="E62" s="126"/>
      <c r="F62" s="126"/>
      <c r="G62" s="126"/>
      <c r="H62" s="126"/>
      <c r="I62" s="126"/>
      <c r="J62" s="126"/>
      <c r="K62" s="127"/>
      <c r="BX62" s="28" t="s">
        <v>161</v>
      </c>
    </row>
    <row r="63" spans="1:76" x14ac:dyDescent="0.25">
      <c r="A63" s="2" t="s">
        <v>162</v>
      </c>
      <c r="B63" s="3" t="s">
        <v>163</v>
      </c>
      <c r="C63" s="69" t="s">
        <v>164</v>
      </c>
      <c r="D63" s="70"/>
      <c r="E63" s="3" t="s">
        <v>159</v>
      </c>
      <c r="F63" s="24">
        <v>8.1533999999999995</v>
      </c>
      <c r="G63" s="24">
        <v>0</v>
      </c>
      <c r="H63" s="24">
        <f>ROUND(F63*AO63,2)</f>
        <v>0</v>
      </c>
      <c r="I63" s="24">
        <f>ROUND(F63*AP63,2)</f>
        <v>0</v>
      </c>
      <c r="J63" s="24">
        <f>ROUND(F63*G63,2)</f>
        <v>0</v>
      </c>
      <c r="K63" s="25" t="s">
        <v>58</v>
      </c>
      <c r="Z63" s="24">
        <f>ROUND(IF(AQ63="5",BJ63,0),2)</f>
        <v>0</v>
      </c>
      <c r="AB63" s="24">
        <f>ROUND(IF(AQ63="1",BH63,0),2)</f>
        <v>0</v>
      </c>
      <c r="AC63" s="24">
        <f>ROUND(IF(AQ63="1",BI63,0),2)</f>
        <v>0</v>
      </c>
      <c r="AD63" s="24">
        <f>ROUND(IF(AQ63="7",BH63,0),2)</f>
        <v>0</v>
      </c>
      <c r="AE63" s="24">
        <f>ROUND(IF(AQ63="7",BI63,0),2)</f>
        <v>0</v>
      </c>
      <c r="AF63" s="24">
        <f>ROUND(IF(AQ63="2",BH63,0),2)</f>
        <v>0</v>
      </c>
      <c r="AG63" s="24">
        <f>ROUND(IF(AQ63="2",BI63,0),2)</f>
        <v>0</v>
      </c>
      <c r="AH63" s="24">
        <f>ROUND(IF(AQ63="0",BJ63,0),2)</f>
        <v>0</v>
      </c>
      <c r="AI63" s="10" t="s">
        <v>51</v>
      </c>
      <c r="AJ63" s="24">
        <f>IF(AN63=0,J63,0)</f>
        <v>0</v>
      </c>
      <c r="AK63" s="24">
        <f>IF(AN63=12,J63,0)</f>
        <v>0</v>
      </c>
      <c r="AL63" s="24">
        <f>IF(AN63=21,J63,0)</f>
        <v>0</v>
      </c>
      <c r="AN63" s="24">
        <v>21</v>
      </c>
      <c r="AO63" s="24">
        <f>G63*0</f>
        <v>0</v>
      </c>
      <c r="AP63" s="24">
        <f>G63*(1-0)</f>
        <v>0</v>
      </c>
      <c r="AQ63" s="26" t="s">
        <v>81</v>
      </c>
      <c r="AV63" s="24">
        <f>ROUND(AW63+AX63,2)</f>
        <v>0</v>
      </c>
      <c r="AW63" s="24">
        <f>ROUND(F63*AO63,2)</f>
        <v>0</v>
      </c>
      <c r="AX63" s="24">
        <f>ROUND(F63*AP63,2)</f>
        <v>0</v>
      </c>
      <c r="AY63" s="26" t="s">
        <v>160</v>
      </c>
      <c r="AZ63" s="26" t="s">
        <v>120</v>
      </c>
      <c r="BA63" s="10" t="s">
        <v>61</v>
      </c>
      <c r="BC63" s="24">
        <f>AW63+AX63</f>
        <v>0</v>
      </c>
      <c r="BD63" s="24">
        <f>G63/(100-BE63)*100</f>
        <v>0</v>
      </c>
      <c r="BE63" s="24">
        <v>0</v>
      </c>
      <c r="BF63" s="24">
        <f>63</f>
        <v>63</v>
      </c>
      <c r="BH63" s="24">
        <f>F63*AO63</f>
        <v>0</v>
      </c>
      <c r="BI63" s="24">
        <f>F63*AP63</f>
        <v>0</v>
      </c>
      <c r="BJ63" s="24">
        <f>F63*G63</f>
        <v>0</v>
      </c>
      <c r="BK63" s="24"/>
      <c r="BL63" s="24"/>
      <c r="BW63" s="24">
        <v>21</v>
      </c>
      <c r="BX63" s="4" t="s">
        <v>164</v>
      </c>
    </row>
    <row r="64" spans="1:76" x14ac:dyDescent="0.25">
      <c r="A64" s="27"/>
      <c r="B64" s="29" t="s">
        <v>63</v>
      </c>
      <c r="C64" s="125" t="s">
        <v>165</v>
      </c>
      <c r="D64" s="126"/>
      <c r="E64" s="126"/>
      <c r="F64" s="126"/>
      <c r="G64" s="126"/>
      <c r="H64" s="126"/>
      <c r="I64" s="126"/>
      <c r="J64" s="126"/>
      <c r="K64" s="127"/>
      <c r="BX64" s="28" t="s">
        <v>165</v>
      </c>
    </row>
    <row r="65" spans="1:76" x14ac:dyDescent="0.25">
      <c r="A65" s="2" t="s">
        <v>166</v>
      </c>
      <c r="B65" s="3" t="s">
        <v>167</v>
      </c>
      <c r="C65" s="69" t="s">
        <v>168</v>
      </c>
      <c r="D65" s="70"/>
      <c r="E65" s="3" t="s">
        <v>159</v>
      </c>
      <c r="F65" s="24">
        <v>32.613599999999998</v>
      </c>
      <c r="G65" s="24">
        <v>0</v>
      </c>
      <c r="H65" s="24">
        <f>ROUND(F65*AO65,2)</f>
        <v>0</v>
      </c>
      <c r="I65" s="24">
        <f>ROUND(F65*AP65,2)</f>
        <v>0</v>
      </c>
      <c r="J65" s="24">
        <f>ROUND(F65*G65,2)</f>
        <v>0</v>
      </c>
      <c r="K65" s="25" t="s">
        <v>58</v>
      </c>
      <c r="Z65" s="24">
        <f>ROUND(IF(AQ65="5",BJ65,0),2)</f>
        <v>0</v>
      </c>
      <c r="AB65" s="24">
        <f>ROUND(IF(AQ65="1",BH65,0),2)</f>
        <v>0</v>
      </c>
      <c r="AC65" s="24">
        <f>ROUND(IF(AQ65="1",BI65,0),2)</f>
        <v>0</v>
      </c>
      <c r="AD65" s="24">
        <f>ROUND(IF(AQ65="7",BH65,0),2)</f>
        <v>0</v>
      </c>
      <c r="AE65" s="24">
        <f>ROUND(IF(AQ65="7",BI65,0),2)</f>
        <v>0</v>
      </c>
      <c r="AF65" s="24">
        <f>ROUND(IF(AQ65="2",BH65,0),2)</f>
        <v>0</v>
      </c>
      <c r="AG65" s="24">
        <f>ROUND(IF(AQ65="2",BI65,0),2)</f>
        <v>0</v>
      </c>
      <c r="AH65" s="24">
        <f>ROUND(IF(AQ65="0",BJ65,0),2)</f>
        <v>0</v>
      </c>
      <c r="AI65" s="10" t="s">
        <v>51</v>
      </c>
      <c r="AJ65" s="24">
        <f>IF(AN65=0,J65,0)</f>
        <v>0</v>
      </c>
      <c r="AK65" s="24">
        <f>IF(AN65=12,J65,0)</f>
        <v>0</v>
      </c>
      <c r="AL65" s="24">
        <f>IF(AN65=21,J65,0)</f>
        <v>0</v>
      </c>
      <c r="AN65" s="24">
        <v>21</v>
      </c>
      <c r="AO65" s="24">
        <f>G65*0</f>
        <v>0</v>
      </c>
      <c r="AP65" s="24">
        <f>G65*(1-0)</f>
        <v>0</v>
      </c>
      <c r="AQ65" s="26" t="s">
        <v>81</v>
      </c>
      <c r="AV65" s="24">
        <f>ROUND(AW65+AX65,2)</f>
        <v>0</v>
      </c>
      <c r="AW65" s="24">
        <f>ROUND(F65*AO65,2)</f>
        <v>0</v>
      </c>
      <c r="AX65" s="24">
        <f>ROUND(F65*AP65,2)</f>
        <v>0</v>
      </c>
      <c r="AY65" s="26" t="s">
        <v>160</v>
      </c>
      <c r="AZ65" s="26" t="s">
        <v>120</v>
      </c>
      <c r="BA65" s="10" t="s">
        <v>61</v>
      </c>
      <c r="BC65" s="24">
        <f>AW65+AX65</f>
        <v>0</v>
      </c>
      <c r="BD65" s="24">
        <f>G65/(100-BE65)*100</f>
        <v>0</v>
      </c>
      <c r="BE65" s="24">
        <v>0</v>
      </c>
      <c r="BF65" s="24">
        <f>65</f>
        <v>65</v>
      </c>
      <c r="BH65" s="24">
        <f>F65*AO65</f>
        <v>0</v>
      </c>
      <c r="BI65" s="24">
        <f>F65*AP65</f>
        <v>0</v>
      </c>
      <c r="BJ65" s="24">
        <f>F65*G65</f>
        <v>0</v>
      </c>
      <c r="BK65" s="24"/>
      <c r="BL65" s="24"/>
      <c r="BW65" s="24">
        <v>21</v>
      </c>
      <c r="BX65" s="4" t="s">
        <v>168</v>
      </c>
    </row>
    <row r="66" spans="1:76" x14ac:dyDescent="0.25">
      <c r="A66" s="2" t="s">
        <v>169</v>
      </c>
      <c r="B66" s="3" t="s">
        <v>170</v>
      </c>
      <c r="C66" s="69" t="s">
        <v>171</v>
      </c>
      <c r="D66" s="70"/>
      <c r="E66" s="3" t="s">
        <v>159</v>
      </c>
      <c r="F66" s="24">
        <v>8.1533999999999995</v>
      </c>
      <c r="G66" s="24">
        <v>0</v>
      </c>
      <c r="H66" s="24">
        <f>ROUND(F66*AO66,2)</f>
        <v>0</v>
      </c>
      <c r="I66" s="24">
        <f>ROUND(F66*AP66,2)</f>
        <v>0</v>
      </c>
      <c r="J66" s="24">
        <f>ROUND(F66*G66,2)</f>
        <v>0</v>
      </c>
      <c r="K66" s="25" t="s">
        <v>58</v>
      </c>
      <c r="Z66" s="24">
        <f>ROUND(IF(AQ66="5",BJ66,0),2)</f>
        <v>0</v>
      </c>
      <c r="AB66" s="24">
        <f>ROUND(IF(AQ66="1",BH66,0),2)</f>
        <v>0</v>
      </c>
      <c r="AC66" s="24">
        <f>ROUND(IF(AQ66="1",BI66,0),2)</f>
        <v>0</v>
      </c>
      <c r="AD66" s="24">
        <f>ROUND(IF(AQ66="7",BH66,0),2)</f>
        <v>0</v>
      </c>
      <c r="AE66" s="24">
        <f>ROUND(IF(AQ66="7",BI66,0),2)</f>
        <v>0</v>
      </c>
      <c r="AF66" s="24">
        <f>ROUND(IF(AQ66="2",BH66,0),2)</f>
        <v>0</v>
      </c>
      <c r="AG66" s="24">
        <f>ROUND(IF(AQ66="2",BI66,0),2)</f>
        <v>0</v>
      </c>
      <c r="AH66" s="24">
        <f>ROUND(IF(AQ66="0",BJ66,0),2)</f>
        <v>0</v>
      </c>
      <c r="AI66" s="10" t="s">
        <v>51</v>
      </c>
      <c r="AJ66" s="24">
        <f>IF(AN66=0,J66,0)</f>
        <v>0</v>
      </c>
      <c r="AK66" s="24">
        <f>IF(AN66=12,J66,0)</f>
        <v>0</v>
      </c>
      <c r="AL66" s="24">
        <f>IF(AN66=21,J66,0)</f>
        <v>0</v>
      </c>
      <c r="AN66" s="24">
        <v>21</v>
      </c>
      <c r="AO66" s="24">
        <f>G66*0</f>
        <v>0</v>
      </c>
      <c r="AP66" s="24">
        <f>G66*(1-0)</f>
        <v>0</v>
      </c>
      <c r="AQ66" s="26" t="s">
        <v>81</v>
      </c>
      <c r="AV66" s="24">
        <f>ROUND(AW66+AX66,2)</f>
        <v>0</v>
      </c>
      <c r="AW66" s="24">
        <f>ROUND(F66*AO66,2)</f>
        <v>0</v>
      </c>
      <c r="AX66" s="24">
        <f>ROUND(F66*AP66,2)</f>
        <v>0</v>
      </c>
      <c r="AY66" s="26" t="s">
        <v>160</v>
      </c>
      <c r="AZ66" s="26" t="s">
        <v>120</v>
      </c>
      <c r="BA66" s="10" t="s">
        <v>61</v>
      </c>
      <c r="BC66" s="24">
        <f>AW66+AX66</f>
        <v>0</v>
      </c>
      <c r="BD66" s="24">
        <f>G66/(100-BE66)*100</f>
        <v>0</v>
      </c>
      <c r="BE66" s="24">
        <v>0</v>
      </c>
      <c r="BF66" s="24">
        <f>66</f>
        <v>66</v>
      </c>
      <c r="BH66" s="24">
        <f>F66*AO66</f>
        <v>0</v>
      </c>
      <c r="BI66" s="24">
        <f>F66*AP66</f>
        <v>0</v>
      </c>
      <c r="BJ66" s="24">
        <f>F66*G66</f>
        <v>0</v>
      </c>
      <c r="BK66" s="24"/>
      <c r="BL66" s="24"/>
      <c r="BW66" s="24">
        <v>21</v>
      </c>
      <c r="BX66" s="4" t="s">
        <v>171</v>
      </c>
    </row>
    <row r="67" spans="1:76" ht="13.5" customHeight="1" x14ac:dyDescent="0.25">
      <c r="A67" s="27"/>
      <c r="C67" s="125" t="s">
        <v>172</v>
      </c>
      <c r="D67" s="126"/>
      <c r="E67" s="126"/>
      <c r="F67" s="126"/>
      <c r="G67" s="126"/>
      <c r="H67" s="126"/>
      <c r="I67" s="126"/>
      <c r="J67" s="126"/>
      <c r="K67" s="127"/>
    </row>
    <row r="68" spans="1:76" x14ac:dyDescent="0.25">
      <c r="A68" s="2" t="s">
        <v>173</v>
      </c>
      <c r="B68" s="3" t="s">
        <v>174</v>
      </c>
      <c r="C68" s="69" t="s">
        <v>175</v>
      </c>
      <c r="D68" s="70"/>
      <c r="E68" s="3" t="s">
        <v>159</v>
      </c>
      <c r="F68" s="24">
        <v>81.534000000000006</v>
      </c>
      <c r="G68" s="24">
        <v>0</v>
      </c>
      <c r="H68" s="24">
        <f>ROUND(F68*AO68,2)</f>
        <v>0</v>
      </c>
      <c r="I68" s="24">
        <f>ROUND(F68*AP68,2)</f>
        <v>0</v>
      </c>
      <c r="J68" s="24">
        <f>ROUND(F68*G68,2)</f>
        <v>0</v>
      </c>
      <c r="K68" s="25" t="s">
        <v>58</v>
      </c>
      <c r="Z68" s="24">
        <f>ROUND(IF(AQ68="5",BJ68,0),2)</f>
        <v>0</v>
      </c>
      <c r="AB68" s="24">
        <f>ROUND(IF(AQ68="1",BH68,0),2)</f>
        <v>0</v>
      </c>
      <c r="AC68" s="24">
        <f>ROUND(IF(AQ68="1",BI68,0),2)</f>
        <v>0</v>
      </c>
      <c r="AD68" s="24">
        <f>ROUND(IF(AQ68="7",BH68,0),2)</f>
        <v>0</v>
      </c>
      <c r="AE68" s="24">
        <f>ROUND(IF(AQ68="7",BI68,0),2)</f>
        <v>0</v>
      </c>
      <c r="AF68" s="24">
        <f>ROUND(IF(AQ68="2",BH68,0),2)</f>
        <v>0</v>
      </c>
      <c r="AG68" s="24">
        <f>ROUND(IF(AQ68="2",BI68,0),2)</f>
        <v>0</v>
      </c>
      <c r="AH68" s="24">
        <f>ROUND(IF(AQ68="0",BJ68,0),2)</f>
        <v>0</v>
      </c>
      <c r="AI68" s="10" t="s">
        <v>51</v>
      </c>
      <c r="AJ68" s="24">
        <f>IF(AN68=0,J68,0)</f>
        <v>0</v>
      </c>
      <c r="AK68" s="24">
        <f>IF(AN68=12,J68,0)</f>
        <v>0</v>
      </c>
      <c r="AL68" s="24">
        <f>IF(AN68=21,J68,0)</f>
        <v>0</v>
      </c>
      <c r="AN68" s="24">
        <v>21</v>
      </c>
      <c r="AO68" s="24">
        <f>G68*0</f>
        <v>0</v>
      </c>
      <c r="AP68" s="24">
        <f>G68*(1-0)</f>
        <v>0</v>
      </c>
      <c r="AQ68" s="26" t="s">
        <v>81</v>
      </c>
      <c r="AV68" s="24">
        <f>ROUND(AW68+AX68,2)</f>
        <v>0</v>
      </c>
      <c r="AW68" s="24">
        <f>ROUND(F68*AO68,2)</f>
        <v>0</v>
      </c>
      <c r="AX68" s="24">
        <f>ROUND(F68*AP68,2)</f>
        <v>0</v>
      </c>
      <c r="AY68" s="26" t="s">
        <v>160</v>
      </c>
      <c r="AZ68" s="26" t="s">
        <v>120</v>
      </c>
      <c r="BA68" s="10" t="s">
        <v>61</v>
      </c>
      <c r="BC68" s="24">
        <f>AW68+AX68</f>
        <v>0</v>
      </c>
      <c r="BD68" s="24">
        <f>G68/(100-BE68)*100</f>
        <v>0</v>
      </c>
      <c r="BE68" s="24">
        <v>0</v>
      </c>
      <c r="BF68" s="24">
        <f>68</f>
        <v>68</v>
      </c>
      <c r="BH68" s="24">
        <f>F68*AO68</f>
        <v>0</v>
      </c>
      <c r="BI68" s="24">
        <f>F68*AP68</f>
        <v>0</v>
      </c>
      <c r="BJ68" s="24">
        <f>F68*G68</f>
        <v>0</v>
      </c>
      <c r="BK68" s="24"/>
      <c r="BL68" s="24"/>
      <c r="BW68" s="24">
        <v>21</v>
      </c>
      <c r="BX68" s="4" t="s">
        <v>175</v>
      </c>
    </row>
    <row r="69" spans="1:76" ht="13.5" customHeight="1" x14ac:dyDescent="0.25">
      <c r="A69" s="27"/>
      <c r="C69" s="125" t="s">
        <v>172</v>
      </c>
      <c r="D69" s="126"/>
      <c r="E69" s="126"/>
      <c r="F69" s="126"/>
      <c r="G69" s="126"/>
      <c r="H69" s="126"/>
      <c r="I69" s="126"/>
      <c r="J69" s="126"/>
      <c r="K69" s="127"/>
    </row>
    <row r="70" spans="1:76" ht="25.5" x14ac:dyDescent="0.25">
      <c r="A70" s="2" t="s">
        <v>176</v>
      </c>
      <c r="B70" s="3" t="s">
        <v>177</v>
      </c>
      <c r="C70" s="69" t="s">
        <v>178</v>
      </c>
      <c r="D70" s="70"/>
      <c r="E70" s="3" t="s">
        <v>159</v>
      </c>
      <c r="F70" s="24">
        <v>8.1533999999999995</v>
      </c>
      <c r="G70" s="24">
        <v>0</v>
      </c>
      <c r="H70" s="24">
        <f>ROUND(F70*AO70,2)</f>
        <v>0</v>
      </c>
      <c r="I70" s="24">
        <f>ROUND(F70*AP70,2)</f>
        <v>0</v>
      </c>
      <c r="J70" s="24">
        <f>ROUND(F70*G70,2)</f>
        <v>0</v>
      </c>
      <c r="K70" s="25" t="s">
        <v>58</v>
      </c>
      <c r="Z70" s="24">
        <f>ROUND(IF(AQ70="5",BJ70,0),2)</f>
        <v>0</v>
      </c>
      <c r="AB70" s="24">
        <f>ROUND(IF(AQ70="1",BH70,0),2)</f>
        <v>0</v>
      </c>
      <c r="AC70" s="24">
        <f>ROUND(IF(AQ70="1",BI70,0),2)</f>
        <v>0</v>
      </c>
      <c r="AD70" s="24">
        <f>ROUND(IF(AQ70="7",BH70,0),2)</f>
        <v>0</v>
      </c>
      <c r="AE70" s="24">
        <f>ROUND(IF(AQ70="7",BI70,0),2)</f>
        <v>0</v>
      </c>
      <c r="AF70" s="24">
        <f>ROUND(IF(AQ70="2",BH70,0),2)</f>
        <v>0</v>
      </c>
      <c r="AG70" s="24">
        <f>ROUND(IF(AQ70="2",BI70,0),2)</f>
        <v>0</v>
      </c>
      <c r="AH70" s="24">
        <f>ROUND(IF(AQ70="0",BJ70,0),2)</f>
        <v>0</v>
      </c>
      <c r="AI70" s="10" t="s">
        <v>51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21</v>
      </c>
      <c r="AO70" s="24">
        <f>G70*0</f>
        <v>0</v>
      </c>
      <c r="AP70" s="24">
        <f>G70*(1-0)</f>
        <v>0</v>
      </c>
      <c r="AQ70" s="26" t="s">
        <v>81</v>
      </c>
      <c r="AV70" s="24">
        <f>ROUND(AW70+AX70,2)</f>
        <v>0</v>
      </c>
      <c r="AW70" s="24">
        <f>ROUND(F70*AO70,2)</f>
        <v>0</v>
      </c>
      <c r="AX70" s="24">
        <f>ROUND(F70*AP70,2)</f>
        <v>0</v>
      </c>
      <c r="AY70" s="26" t="s">
        <v>160</v>
      </c>
      <c r="AZ70" s="26" t="s">
        <v>120</v>
      </c>
      <c r="BA70" s="10" t="s">
        <v>61</v>
      </c>
      <c r="BC70" s="24">
        <f>AW70+AX70</f>
        <v>0</v>
      </c>
      <c r="BD70" s="24">
        <f>G70/(100-BE70)*100</f>
        <v>0</v>
      </c>
      <c r="BE70" s="24">
        <v>0</v>
      </c>
      <c r="BF70" s="24">
        <f>70</f>
        <v>70</v>
      </c>
      <c r="BH70" s="24">
        <f>F70*AO70</f>
        <v>0</v>
      </c>
      <c r="BI70" s="24">
        <f>F70*AP70</f>
        <v>0</v>
      </c>
      <c r="BJ70" s="24">
        <f>F70*G70</f>
        <v>0</v>
      </c>
      <c r="BK70" s="24"/>
      <c r="BL70" s="24"/>
      <c r="BW70" s="24">
        <v>21</v>
      </c>
      <c r="BX70" s="4" t="s">
        <v>178</v>
      </c>
    </row>
    <row r="71" spans="1:76" ht="38.25" x14ac:dyDescent="0.25">
      <c r="A71" s="27"/>
      <c r="B71" s="29" t="s">
        <v>63</v>
      </c>
      <c r="C71" s="125" t="s">
        <v>179</v>
      </c>
      <c r="D71" s="126"/>
      <c r="E71" s="126"/>
      <c r="F71" s="126"/>
      <c r="G71" s="126"/>
      <c r="H71" s="126"/>
      <c r="I71" s="126"/>
      <c r="J71" s="126"/>
      <c r="K71" s="127"/>
      <c r="BX71" s="28" t="s">
        <v>179</v>
      </c>
    </row>
    <row r="72" spans="1:76" x14ac:dyDescent="0.25">
      <c r="A72" s="30" t="s">
        <v>51</v>
      </c>
      <c r="B72" s="31" t="s">
        <v>180</v>
      </c>
      <c r="C72" s="121" t="s">
        <v>181</v>
      </c>
      <c r="D72" s="122"/>
      <c r="E72" s="32" t="s">
        <v>4</v>
      </c>
      <c r="F72" s="32" t="s">
        <v>4</v>
      </c>
      <c r="G72" s="32" t="s">
        <v>4</v>
      </c>
      <c r="H72" s="1">
        <f>H73+H75</f>
        <v>0</v>
      </c>
      <c r="I72" s="1">
        <f>I73+I75</f>
        <v>0</v>
      </c>
      <c r="J72" s="1">
        <f>J73+J75</f>
        <v>0</v>
      </c>
      <c r="K72" s="33" t="s">
        <v>51</v>
      </c>
      <c r="AI72" s="10" t="s">
        <v>51</v>
      </c>
    </row>
    <row r="73" spans="1:76" x14ac:dyDescent="0.25">
      <c r="A73" s="30" t="s">
        <v>51</v>
      </c>
      <c r="B73" s="31" t="s">
        <v>182</v>
      </c>
      <c r="C73" s="121" t="s">
        <v>183</v>
      </c>
      <c r="D73" s="122"/>
      <c r="E73" s="32" t="s">
        <v>4</v>
      </c>
      <c r="F73" s="32" t="s">
        <v>4</v>
      </c>
      <c r="G73" s="32" t="s">
        <v>4</v>
      </c>
      <c r="H73" s="1">
        <f>SUM(H74:H74)</f>
        <v>0</v>
      </c>
      <c r="I73" s="1">
        <f>SUM(I74:I74)</f>
        <v>0</v>
      </c>
      <c r="J73" s="1">
        <f>SUM(J74:J74)</f>
        <v>0</v>
      </c>
      <c r="K73" s="33" t="s">
        <v>51</v>
      </c>
      <c r="AI73" s="10" t="s">
        <v>51</v>
      </c>
      <c r="AS73" s="1">
        <f>SUM(AJ74:AJ74)</f>
        <v>0</v>
      </c>
      <c r="AT73" s="1">
        <f>SUM(AK74:AK74)</f>
        <v>0</v>
      </c>
      <c r="AU73" s="1">
        <f>SUM(AL74:AL74)</f>
        <v>0</v>
      </c>
    </row>
    <row r="74" spans="1:76" x14ac:dyDescent="0.25">
      <c r="A74" s="2" t="s">
        <v>184</v>
      </c>
      <c r="B74" s="3" t="s">
        <v>185</v>
      </c>
      <c r="C74" s="69" t="s">
        <v>183</v>
      </c>
      <c r="D74" s="70"/>
      <c r="E74" s="3" t="s">
        <v>186</v>
      </c>
      <c r="F74" s="24">
        <v>1</v>
      </c>
      <c r="G74" s="24">
        <v>0</v>
      </c>
      <c r="H74" s="24">
        <f>ROUND(F74*AO74,2)</f>
        <v>0</v>
      </c>
      <c r="I74" s="24">
        <f>ROUND(F74*AP74,2)</f>
        <v>0</v>
      </c>
      <c r="J74" s="24">
        <f>ROUND(F74*G74,2)</f>
        <v>0</v>
      </c>
      <c r="K74" s="25" t="s">
        <v>58</v>
      </c>
      <c r="Z74" s="24">
        <f>ROUND(IF(AQ74="5",BJ74,0),2)</f>
        <v>0</v>
      </c>
      <c r="AB74" s="24">
        <f>ROUND(IF(AQ74="1",BH74,0),2)</f>
        <v>0</v>
      </c>
      <c r="AC74" s="24">
        <f>ROUND(IF(AQ74="1",BI74,0),2)</f>
        <v>0</v>
      </c>
      <c r="AD74" s="24">
        <f>ROUND(IF(AQ74="7",BH74,0),2)</f>
        <v>0</v>
      </c>
      <c r="AE74" s="24">
        <f>ROUND(IF(AQ74="7",BI74,0),2)</f>
        <v>0</v>
      </c>
      <c r="AF74" s="24">
        <f>ROUND(IF(AQ74="2",BH74,0),2)</f>
        <v>0</v>
      </c>
      <c r="AG74" s="24">
        <f>ROUND(IF(AQ74="2",BI74,0),2)</f>
        <v>0</v>
      </c>
      <c r="AH74" s="24">
        <f>ROUND(IF(AQ74="0",BJ74,0),2)</f>
        <v>0</v>
      </c>
      <c r="AI74" s="10" t="s">
        <v>51</v>
      </c>
      <c r="AJ74" s="24">
        <f>IF(AN74=0,J74,0)</f>
        <v>0</v>
      </c>
      <c r="AK74" s="24">
        <f>IF(AN74=12,J74,0)</f>
        <v>0</v>
      </c>
      <c r="AL74" s="24">
        <f>IF(AN74=21,J74,0)</f>
        <v>0</v>
      </c>
      <c r="AN74" s="24">
        <v>21</v>
      </c>
      <c r="AO74" s="24">
        <f>G74*0</f>
        <v>0</v>
      </c>
      <c r="AP74" s="24">
        <f>G74*(1-0)</f>
        <v>0</v>
      </c>
      <c r="AQ74" s="26" t="s">
        <v>187</v>
      </c>
      <c r="AV74" s="24">
        <f>ROUND(AW74+AX74,2)</f>
        <v>0</v>
      </c>
      <c r="AW74" s="24">
        <f>ROUND(F74*AO74,2)</f>
        <v>0</v>
      </c>
      <c r="AX74" s="24">
        <f>ROUND(F74*AP74,2)</f>
        <v>0</v>
      </c>
      <c r="AY74" s="26" t="s">
        <v>188</v>
      </c>
      <c r="AZ74" s="26" t="s">
        <v>189</v>
      </c>
      <c r="BA74" s="10" t="s">
        <v>61</v>
      </c>
      <c r="BC74" s="24">
        <f>AW74+AX74</f>
        <v>0</v>
      </c>
      <c r="BD74" s="24">
        <f>G74/(100-BE74)*100</f>
        <v>0</v>
      </c>
      <c r="BE74" s="24">
        <v>0</v>
      </c>
      <c r="BF74" s="24">
        <f>74</f>
        <v>74</v>
      </c>
      <c r="BH74" s="24">
        <f>F74*AO74</f>
        <v>0</v>
      </c>
      <c r="BI74" s="24">
        <f>F74*AP74</f>
        <v>0</v>
      </c>
      <c r="BJ74" s="24">
        <f>F74*G74</f>
        <v>0</v>
      </c>
      <c r="BK74" s="24"/>
      <c r="BL74" s="24"/>
      <c r="BN74" s="24">
        <f>F74*G74</f>
        <v>0</v>
      </c>
      <c r="BW74" s="24">
        <v>21</v>
      </c>
      <c r="BX74" s="4" t="s">
        <v>183</v>
      </c>
    </row>
    <row r="75" spans="1:76" x14ac:dyDescent="0.25">
      <c r="A75" s="30" t="s">
        <v>51</v>
      </c>
      <c r="B75" s="31" t="s">
        <v>190</v>
      </c>
      <c r="C75" s="121" t="s">
        <v>191</v>
      </c>
      <c r="D75" s="122"/>
      <c r="E75" s="32" t="s">
        <v>4</v>
      </c>
      <c r="F75" s="32" t="s">
        <v>4</v>
      </c>
      <c r="G75" s="32" t="s">
        <v>4</v>
      </c>
      <c r="H75" s="1">
        <f>SUM(H76:H77)</f>
        <v>0</v>
      </c>
      <c r="I75" s="1">
        <f>SUM(I76:I77)</f>
        <v>0</v>
      </c>
      <c r="J75" s="1">
        <f>SUM(J76:J77)</f>
        <v>0</v>
      </c>
      <c r="K75" s="33" t="s">
        <v>51</v>
      </c>
      <c r="AI75" s="10" t="s">
        <v>51</v>
      </c>
      <c r="AS75" s="1">
        <f>SUM(AJ76:AJ77)</f>
        <v>0</v>
      </c>
      <c r="AT75" s="1">
        <f>SUM(AK76:AK77)</f>
        <v>0</v>
      </c>
      <c r="AU75" s="1">
        <f>SUM(AL76:AL77)</f>
        <v>0</v>
      </c>
    </row>
    <row r="76" spans="1:76" x14ac:dyDescent="0.25">
      <c r="A76" s="2" t="s">
        <v>192</v>
      </c>
      <c r="B76" s="3" t="s">
        <v>193</v>
      </c>
      <c r="C76" s="69" t="s">
        <v>191</v>
      </c>
      <c r="D76" s="70"/>
      <c r="E76" s="3" t="s">
        <v>186</v>
      </c>
      <c r="F76" s="24">
        <v>1</v>
      </c>
      <c r="G76" s="24">
        <v>0</v>
      </c>
      <c r="H76" s="24">
        <f>ROUND(F76*AO76,2)</f>
        <v>0</v>
      </c>
      <c r="I76" s="24">
        <f>ROUND(F76*AP76,2)</f>
        <v>0</v>
      </c>
      <c r="J76" s="24">
        <f>ROUND(F76*G76,2)</f>
        <v>0</v>
      </c>
      <c r="K76" s="25" t="s">
        <v>58</v>
      </c>
      <c r="Z76" s="24">
        <f>ROUND(IF(AQ76="5",BJ76,0),2)</f>
        <v>0</v>
      </c>
      <c r="AB76" s="24">
        <f>ROUND(IF(AQ76="1",BH76,0),2)</f>
        <v>0</v>
      </c>
      <c r="AC76" s="24">
        <f>ROUND(IF(AQ76="1",BI76,0),2)</f>
        <v>0</v>
      </c>
      <c r="AD76" s="24">
        <f>ROUND(IF(AQ76="7",BH76,0),2)</f>
        <v>0</v>
      </c>
      <c r="AE76" s="24">
        <f>ROUND(IF(AQ76="7",BI76,0),2)</f>
        <v>0</v>
      </c>
      <c r="AF76" s="24">
        <f>ROUND(IF(AQ76="2",BH76,0),2)</f>
        <v>0</v>
      </c>
      <c r="AG76" s="24">
        <f>ROUND(IF(AQ76="2",BI76,0),2)</f>
        <v>0</v>
      </c>
      <c r="AH76" s="24">
        <f>ROUND(IF(AQ76="0",BJ76,0),2)</f>
        <v>0</v>
      </c>
      <c r="AI76" s="10" t="s">
        <v>51</v>
      </c>
      <c r="AJ76" s="24">
        <f>IF(AN76=0,J76,0)</f>
        <v>0</v>
      </c>
      <c r="AK76" s="24">
        <f>IF(AN76=12,J76,0)</f>
        <v>0</v>
      </c>
      <c r="AL76" s="24">
        <f>IF(AN76=21,J76,0)</f>
        <v>0</v>
      </c>
      <c r="AN76" s="24">
        <v>21</v>
      </c>
      <c r="AO76" s="24">
        <f>G76*0</f>
        <v>0</v>
      </c>
      <c r="AP76" s="24">
        <f>G76*(1-0)</f>
        <v>0</v>
      </c>
      <c r="AQ76" s="26" t="s">
        <v>187</v>
      </c>
      <c r="AV76" s="24">
        <f>ROUND(AW76+AX76,2)</f>
        <v>0</v>
      </c>
      <c r="AW76" s="24">
        <f>ROUND(F76*AO76,2)</f>
        <v>0</v>
      </c>
      <c r="AX76" s="24">
        <f>ROUND(F76*AP76,2)</f>
        <v>0</v>
      </c>
      <c r="AY76" s="26" t="s">
        <v>194</v>
      </c>
      <c r="AZ76" s="26" t="s">
        <v>189</v>
      </c>
      <c r="BA76" s="10" t="s">
        <v>61</v>
      </c>
      <c r="BC76" s="24">
        <f>AW76+AX76</f>
        <v>0</v>
      </c>
      <c r="BD76" s="24">
        <f>G76/(100-BE76)*100</f>
        <v>0</v>
      </c>
      <c r="BE76" s="24">
        <v>0</v>
      </c>
      <c r="BF76" s="24">
        <f>76</f>
        <v>76</v>
      </c>
      <c r="BH76" s="24">
        <f>F76*AO76</f>
        <v>0</v>
      </c>
      <c r="BI76" s="24">
        <f>F76*AP76</f>
        <v>0</v>
      </c>
      <c r="BJ76" s="24">
        <f>F76*G76</f>
        <v>0</v>
      </c>
      <c r="BK76" s="24"/>
      <c r="BL76" s="24"/>
      <c r="BO76" s="24">
        <f>F76*G76</f>
        <v>0</v>
      </c>
      <c r="BW76" s="24">
        <v>21</v>
      </c>
      <c r="BX76" s="4" t="s">
        <v>191</v>
      </c>
    </row>
    <row r="77" spans="1:76" x14ac:dyDescent="0.25">
      <c r="A77" s="41" t="s">
        <v>195</v>
      </c>
      <c r="B77" s="42" t="s">
        <v>196</v>
      </c>
      <c r="C77" s="123" t="s">
        <v>197</v>
      </c>
      <c r="D77" s="106"/>
      <c r="E77" s="42" t="s">
        <v>186</v>
      </c>
      <c r="F77" s="43">
        <v>1</v>
      </c>
      <c r="G77" s="43">
        <v>0</v>
      </c>
      <c r="H77" s="43">
        <f>ROUND(F77*AO77,2)</f>
        <v>0</v>
      </c>
      <c r="I77" s="43">
        <f>ROUND(F77*AP77,2)</f>
        <v>0</v>
      </c>
      <c r="J77" s="43">
        <f>ROUND(F77*G77,2)</f>
        <v>0</v>
      </c>
      <c r="K77" s="44" t="s">
        <v>58</v>
      </c>
      <c r="Z77" s="24">
        <f>ROUND(IF(AQ77="5",BJ77,0),2)</f>
        <v>0</v>
      </c>
      <c r="AB77" s="24">
        <f>ROUND(IF(AQ77="1",BH77,0),2)</f>
        <v>0</v>
      </c>
      <c r="AC77" s="24">
        <f>ROUND(IF(AQ77="1",BI77,0),2)</f>
        <v>0</v>
      </c>
      <c r="AD77" s="24">
        <f>ROUND(IF(AQ77="7",BH77,0),2)</f>
        <v>0</v>
      </c>
      <c r="AE77" s="24">
        <f>ROUND(IF(AQ77="7",BI77,0),2)</f>
        <v>0</v>
      </c>
      <c r="AF77" s="24">
        <f>ROUND(IF(AQ77="2",BH77,0),2)</f>
        <v>0</v>
      </c>
      <c r="AG77" s="24">
        <f>ROUND(IF(AQ77="2",BI77,0),2)</f>
        <v>0</v>
      </c>
      <c r="AH77" s="24">
        <f>ROUND(IF(AQ77="0",BJ77,0),2)</f>
        <v>0</v>
      </c>
      <c r="AI77" s="10" t="s">
        <v>51</v>
      </c>
      <c r="AJ77" s="24">
        <f>IF(AN77=0,J77,0)</f>
        <v>0</v>
      </c>
      <c r="AK77" s="24">
        <f>IF(AN77=12,J77,0)</f>
        <v>0</v>
      </c>
      <c r="AL77" s="24">
        <f>IF(AN77=21,J77,0)</f>
        <v>0</v>
      </c>
      <c r="AN77" s="24">
        <v>21</v>
      </c>
      <c r="AO77" s="24">
        <f>G77*0</f>
        <v>0</v>
      </c>
      <c r="AP77" s="24">
        <f>G77*(1-0)</f>
        <v>0</v>
      </c>
      <c r="AQ77" s="26" t="s">
        <v>187</v>
      </c>
      <c r="AV77" s="24">
        <f>ROUND(AW77+AX77,2)</f>
        <v>0</v>
      </c>
      <c r="AW77" s="24">
        <f>ROUND(F77*AO77,2)</f>
        <v>0</v>
      </c>
      <c r="AX77" s="24">
        <f>ROUND(F77*AP77,2)</f>
        <v>0</v>
      </c>
      <c r="AY77" s="26" t="s">
        <v>194</v>
      </c>
      <c r="AZ77" s="26" t="s">
        <v>189</v>
      </c>
      <c r="BA77" s="10" t="s">
        <v>61</v>
      </c>
      <c r="BC77" s="24">
        <f>AW77+AX77</f>
        <v>0</v>
      </c>
      <c r="BD77" s="24">
        <f>G77/(100-BE77)*100</f>
        <v>0</v>
      </c>
      <c r="BE77" s="24">
        <v>0</v>
      </c>
      <c r="BF77" s="24">
        <f>77</f>
        <v>77</v>
      </c>
      <c r="BH77" s="24">
        <f>F77*AO77</f>
        <v>0</v>
      </c>
      <c r="BI77" s="24">
        <f>F77*AP77</f>
        <v>0</v>
      </c>
      <c r="BJ77" s="24">
        <f>F77*G77</f>
        <v>0</v>
      </c>
      <c r="BK77" s="24"/>
      <c r="BL77" s="24"/>
      <c r="BO77" s="24">
        <f>F77*G77</f>
        <v>0</v>
      </c>
      <c r="BW77" s="24">
        <v>21</v>
      </c>
      <c r="BX77" s="4" t="s">
        <v>197</v>
      </c>
    </row>
    <row r="78" spans="1:76" x14ac:dyDescent="0.25">
      <c r="H78" s="124" t="s">
        <v>198</v>
      </c>
      <c r="I78" s="124"/>
      <c r="J78" s="45">
        <f>ROUND(J12+J26+J28+J42+J52+J58+J60+J73+J75,2)</f>
        <v>0</v>
      </c>
    </row>
    <row r="79" spans="1:76" x14ac:dyDescent="0.25">
      <c r="A79" s="46" t="s">
        <v>199</v>
      </c>
    </row>
    <row r="80" spans="1:76" ht="12.75" customHeight="1" x14ac:dyDescent="0.25">
      <c r="A80" s="69" t="s">
        <v>51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</row>
  </sheetData>
  <mergeCells count="96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1:D11"/>
    <mergeCell ref="H10:J10"/>
    <mergeCell ref="C12:D12"/>
    <mergeCell ref="C13:D13"/>
    <mergeCell ref="C14:K14"/>
    <mergeCell ref="C15:K15"/>
    <mergeCell ref="C16:K16"/>
    <mergeCell ref="C17:D17"/>
    <mergeCell ref="C18:K18"/>
    <mergeCell ref="C19:K19"/>
    <mergeCell ref="C20:K20"/>
    <mergeCell ref="C21:D21"/>
    <mergeCell ref="C22:K22"/>
    <mergeCell ref="C23:K23"/>
    <mergeCell ref="C24:D24"/>
    <mergeCell ref="C25:K25"/>
    <mergeCell ref="C26:D26"/>
    <mergeCell ref="C27:D27"/>
    <mergeCell ref="C28:D28"/>
    <mergeCell ref="C29:D29"/>
    <mergeCell ref="C30:D30"/>
    <mergeCell ref="C31:K31"/>
    <mergeCell ref="C32:D32"/>
    <mergeCell ref="C33:K33"/>
    <mergeCell ref="C34:D34"/>
    <mergeCell ref="C35:K35"/>
    <mergeCell ref="C36:D36"/>
    <mergeCell ref="C37:K37"/>
    <mergeCell ref="C38:D38"/>
    <mergeCell ref="C39:K39"/>
    <mergeCell ref="C40:D40"/>
    <mergeCell ref="C41:K41"/>
    <mergeCell ref="C42:D42"/>
    <mergeCell ref="C43:D43"/>
    <mergeCell ref="C44:K44"/>
    <mergeCell ref="C45:K45"/>
    <mergeCell ref="C46:D46"/>
    <mergeCell ref="C47:K47"/>
    <mergeCell ref="C48:K48"/>
    <mergeCell ref="C49:D49"/>
    <mergeCell ref="C50:K50"/>
    <mergeCell ref="C51:K51"/>
    <mergeCell ref="C52:D52"/>
    <mergeCell ref="C53:D53"/>
    <mergeCell ref="C54:K54"/>
    <mergeCell ref="C55:K55"/>
    <mergeCell ref="C56:D56"/>
    <mergeCell ref="C57:K57"/>
    <mergeCell ref="C58:D58"/>
    <mergeCell ref="C59:D59"/>
    <mergeCell ref="C60:D60"/>
    <mergeCell ref="C61:D61"/>
    <mergeCell ref="C62:K62"/>
    <mergeCell ref="C63:D63"/>
    <mergeCell ref="C64:K64"/>
    <mergeCell ref="C65:D65"/>
    <mergeCell ref="C66:D66"/>
    <mergeCell ref="C67:K67"/>
    <mergeCell ref="C68:D68"/>
    <mergeCell ref="C69:K69"/>
    <mergeCell ref="C70:D70"/>
    <mergeCell ref="C71:K71"/>
    <mergeCell ref="C72:D72"/>
    <mergeCell ref="C73:D73"/>
    <mergeCell ref="C74:D74"/>
    <mergeCell ref="C75:D75"/>
    <mergeCell ref="C76:D76"/>
    <mergeCell ref="C77:D77"/>
    <mergeCell ref="H78:I78"/>
    <mergeCell ref="A80:K80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3" t="s">
        <v>181</v>
      </c>
      <c r="B1" s="114"/>
      <c r="C1" s="114"/>
      <c r="D1" s="114"/>
      <c r="E1" s="114"/>
      <c r="F1" s="114"/>
      <c r="G1" s="114"/>
      <c r="H1" s="114"/>
      <c r="I1" s="114"/>
    </row>
    <row r="2" spans="1:9" x14ac:dyDescent="0.25">
      <c r="A2" s="115" t="s">
        <v>1</v>
      </c>
      <c r="B2" s="116"/>
      <c r="C2" s="110" t="str">
        <f>'Stavební rozpočet'!C2</f>
        <v>REKONSTRUKCE PODHLEDU V TĚLOCVIČNĚ ZŠ T.G.MASARYKA</v>
      </c>
      <c r="D2" s="111"/>
      <c r="E2" s="107" t="s">
        <v>5</v>
      </c>
      <c r="F2" s="107" t="str">
        <f>'Stavební rozpočet'!I2</f>
        <v>Město Ivančice</v>
      </c>
      <c r="G2" s="116"/>
      <c r="H2" s="107" t="s">
        <v>201</v>
      </c>
      <c r="I2" s="118" t="s">
        <v>202</v>
      </c>
    </row>
    <row r="3" spans="1:9" ht="15" customHeight="1" x14ac:dyDescent="0.25">
      <c r="A3" s="117"/>
      <c r="B3" s="70"/>
      <c r="C3" s="112"/>
      <c r="D3" s="112"/>
      <c r="E3" s="70"/>
      <c r="F3" s="70"/>
      <c r="G3" s="70"/>
      <c r="H3" s="70"/>
      <c r="I3" s="119"/>
    </row>
    <row r="4" spans="1:9" x14ac:dyDescent="0.25">
      <c r="A4" s="108" t="s">
        <v>7</v>
      </c>
      <c r="B4" s="70"/>
      <c r="C4" s="69" t="str">
        <f>'Stavební rozpočet'!C4</f>
        <v>Stavební úpravy</v>
      </c>
      <c r="D4" s="70"/>
      <c r="E4" s="69" t="s">
        <v>11</v>
      </c>
      <c r="F4" s="69" t="str">
        <f>'Stavební rozpočet'!I4</f>
        <v>Tomáš Sýkora</v>
      </c>
      <c r="G4" s="70"/>
      <c r="H4" s="69" t="s">
        <v>201</v>
      </c>
      <c r="I4" s="119" t="s">
        <v>203</v>
      </c>
    </row>
    <row r="5" spans="1:9" ht="15" customHeight="1" x14ac:dyDescent="0.25">
      <c r="A5" s="117"/>
      <c r="B5" s="70"/>
      <c r="C5" s="70"/>
      <c r="D5" s="70"/>
      <c r="E5" s="70"/>
      <c r="F5" s="70"/>
      <c r="G5" s="70"/>
      <c r="H5" s="70"/>
      <c r="I5" s="119"/>
    </row>
    <row r="6" spans="1:9" x14ac:dyDescent="0.25">
      <c r="A6" s="108" t="s">
        <v>13</v>
      </c>
      <c r="B6" s="70"/>
      <c r="C6" s="69" t="str">
        <f>'Stavební rozpočet'!C6</f>
        <v>ZŠ TGM Ivančice, Na Brněnce 1, 664 91 Ivančice</v>
      </c>
      <c r="D6" s="70"/>
      <c r="E6" s="69" t="s">
        <v>16</v>
      </c>
      <c r="F6" s="69" t="str">
        <f>'Stavební rozpočet'!I6</f>
        <v> </v>
      </c>
      <c r="G6" s="70"/>
      <c r="H6" s="69" t="s">
        <v>201</v>
      </c>
      <c r="I6" s="119" t="s">
        <v>51</v>
      </c>
    </row>
    <row r="7" spans="1:9" ht="15" customHeight="1" x14ac:dyDescent="0.25">
      <c r="A7" s="117"/>
      <c r="B7" s="70"/>
      <c r="C7" s="70"/>
      <c r="D7" s="70"/>
      <c r="E7" s="70"/>
      <c r="F7" s="70"/>
      <c r="G7" s="70"/>
      <c r="H7" s="70"/>
      <c r="I7" s="119"/>
    </row>
    <row r="8" spans="1:9" x14ac:dyDescent="0.25">
      <c r="A8" s="108" t="s">
        <v>9</v>
      </c>
      <c r="B8" s="70"/>
      <c r="C8" s="69" t="str">
        <f>'Stavební rozpočet'!G4</f>
        <v>24.03.2025</v>
      </c>
      <c r="D8" s="70"/>
      <c r="E8" s="69" t="s">
        <v>15</v>
      </c>
      <c r="F8" s="69" t="str">
        <f>'Stavební rozpočet'!G6</f>
        <v xml:space="preserve"> </v>
      </c>
      <c r="G8" s="70"/>
      <c r="H8" s="70" t="s">
        <v>204</v>
      </c>
      <c r="I8" s="120">
        <v>27</v>
      </c>
    </row>
    <row r="9" spans="1:9" x14ac:dyDescent="0.25">
      <c r="A9" s="117"/>
      <c r="B9" s="70"/>
      <c r="C9" s="70"/>
      <c r="D9" s="70"/>
      <c r="E9" s="70"/>
      <c r="F9" s="70"/>
      <c r="G9" s="70"/>
      <c r="H9" s="70"/>
      <c r="I9" s="119"/>
    </row>
    <row r="10" spans="1:9" x14ac:dyDescent="0.25">
      <c r="A10" s="108" t="s">
        <v>18</v>
      </c>
      <c r="B10" s="70"/>
      <c r="C10" s="69" t="str">
        <f>'Stavební rozpočet'!C8</f>
        <v>8013219</v>
      </c>
      <c r="D10" s="70"/>
      <c r="E10" s="69" t="s">
        <v>21</v>
      </c>
      <c r="F10" s="69" t="str">
        <f>'Stavební rozpočet'!I8</f>
        <v>Tomáš Sýkora</v>
      </c>
      <c r="G10" s="70"/>
      <c r="H10" s="70" t="s">
        <v>205</v>
      </c>
      <c r="I10" s="101" t="str">
        <f>'Stavební rozpočet'!G8</f>
        <v>24.03.2025</v>
      </c>
    </row>
    <row r="11" spans="1:9" x14ac:dyDescent="0.25">
      <c r="A11" s="109"/>
      <c r="B11" s="106"/>
      <c r="C11" s="106"/>
      <c r="D11" s="106"/>
      <c r="E11" s="106"/>
      <c r="F11" s="106"/>
      <c r="G11" s="106"/>
      <c r="H11" s="106"/>
      <c r="I11" s="102"/>
    </row>
    <row r="13" spans="1:9" ht="15.75" x14ac:dyDescent="0.25">
      <c r="A13" s="157" t="s">
        <v>245</v>
      </c>
      <c r="B13" s="157"/>
      <c r="C13" s="157"/>
      <c r="D13" s="157"/>
      <c r="E13" s="157"/>
    </row>
    <row r="14" spans="1:9" x14ac:dyDescent="0.25">
      <c r="A14" s="158" t="s">
        <v>246</v>
      </c>
      <c r="B14" s="159"/>
      <c r="C14" s="159"/>
      <c r="D14" s="159"/>
      <c r="E14" s="160"/>
      <c r="F14" s="61" t="s">
        <v>247</v>
      </c>
      <c r="G14" s="61" t="s">
        <v>248</v>
      </c>
      <c r="H14" s="61" t="s">
        <v>249</v>
      </c>
      <c r="I14" s="61" t="s">
        <v>247</v>
      </c>
    </row>
    <row r="15" spans="1:9" x14ac:dyDescent="0.25">
      <c r="A15" s="142" t="s">
        <v>215</v>
      </c>
      <c r="B15" s="143"/>
      <c r="C15" s="143"/>
      <c r="D15" s="143"/>
      <c r="E15" s="144"/>
      <c r="F15" s="62">
        <v>0</v>
      </c>
      <c r="G15" s="63" t="s">
        <v>51</v>
      </c>
      <c r="H15" s="63" t="s">
        <v>51</v>
      </c>
      <c r="I15" s="62">
        <f>F15</f>
        <v>0</v>
      </c>
    </row>
    <row r="16" spans="1:9" x14ac:dyDescent="0.25">
      <c r="A16" s="142" t="s">
        <v>216</v>
      </c>
      <c r="B16" s="143"/>
      <c r="C16" s="143"/>
      <c r="D16" s="143"/>
      <c r="E16" s="144"/>
      <c r="F16" s="62">
        <v>0</v>
      </c>
      <c r="G16" s="63" t="s">
        <v>51</v>
      </c>
      <c r="H16" s="63" t="s">
        <v>51</v>
      </c>
      <c r="I16" s="62">
        <f>F16</f>
        <v>0</v>
      </c>
    </row>
    <row r="17" spans="1:9" x14ac:dyDescent="0.25">
      <c r="A17" s="145" t="s">
        <v>219</v>
      </c>
      <c r="B17" s="146"/>
      <c r="C17" s="146"/>
      <c r="D17" s="146"/>
      <c r="E17" s="147"/>
      <c r="F17" s="64">
        <v>0</v>
      </c>
      <c r="G17" s="65" t="s">
        <v>51</v>
      </c>
      <c r="H17" s="65" t="s">
        <v>51</v>
      </c>
      <c r="I17" s="64">
        <f>F17</f>
        <v>0</v>
      </c>
    </row>
    <row r="18" spans="1:9" x14ac:dyDescent="0.25">
      <c r="A18" s="148" t="s">
        <v>250</v>
      </c>
      <c r="B18" s="149"/>
      <c r="C18" s="149"/>
      <c r="D18" s="149"/>
      <c r="E18" s="150"/>
      <c r="F18" s="66" t="s">
        <v>51</v>
      </c>
      <c r="G18" s="67" t="s">
        <v>51</v>
      </c>
      <c r="H18" s="67" t="s">
        <v>51</v>
      </c>
      <c r="I18" s="68">
        <f>SUM(I15:I17)</f>
        <v>0</v>
      </c>
    </row>
    <row r="20" spans="1:9" x14ac:dyDescent="0.25">
      <c r="A20" s="158" t="s">
        <v>212</v>
      </c>
      <c r="B20" s="159"/>
      <c r="C20" s="159"/>
      <c r="D20" s="159"/>
      <c r="E20" s="160"/>
      <c r="F20" s="61" t="s">
        <v>247</v>
      </c>
      <c r="G20" s="61" t="s">
        <v>248</v>
      </c>
      <c r="H20" s="61" t="s">
        <v>249</v>
      </c>
      <c r="I20" s="61" t="s">
        <v>247</v>
      </c>
    </row>
    <row r="21" spans="1:9" x14ac:dyDescent="0.25">
      <c r="A21" s="142" t="s">
        <v>191</v>
      </c>
      <c r="B21" s="143"/>
      <c r="C21" s="143"/>
      <c r="D21" s="143"/>
      <c r="E21" s="144"/>
      <c r="F21" s="62">
        <v>0</v>
      </c>
      <c r="G21" s="63" t="s">
        <v>51</v>
      </c>
      <c r="H21" s="63" t="s">
        <v>51</v>
      </c>
      <c r="I21" s="62">
        <f t="shared" ref="I21:I26" si="0">F21</f>
        <v>0</v>
      </c>
    </row>
    <row r="22" spans="1:9" x14ac:dyDescent="0.25">
      <c r="A22" s="142" t="s">
        <v>217</v>
      </c>
      <c r="B22" s="143"/>
      <c r="C22" s="143"/>
      <c r="D22" s="143"/>
      <c r="E22" s="144"/>
      <c r="F22" s="62">
        <v>0</v>
      </c>
      <c r="G22" s="63" t="s">
        <v>51</v>
      </c>
      <c r="H22" s="63" t="s">
        <v>51</v>
      </c>
      <c r="I22" s="62">
        <f t="shared" si="0"/>
        <v>0</v>
      </c>
    </row>
    <row r="23" spans="1:9" x14ac:dyDescent="0.25">
      <c r="A23" s="142" t="s">
        <v>220</v>
      </c>
      <c r="B23" s="143"/>
      <c r="C23" s="143"/>
      <c r="D23" s="143"/>
      <c r="E23" s="144"/>
      <c r="F23" s="62">
        <v>0</v>
      </c>
      <c r="G23" s="63" t="s">
        <v>51</v>
      </c>
      <c r="H23" s="63" t="s">
        <v>51</v>
      </c>
      <c r="I23" s="62">
        <f t="shared" si="0"/>
        <v>0</v>
      </c>
    </row>
    <row r="24" spans="1:9" x14ac:dyDescent="0.25">
      <c r="A24" s="142" t="s">
        <v>221</v>
      </c>
      <c r="B24" s="143"/>
      <c r="C24" s="143"/>
      <c r="D24" s="143"/>
      <c r="E24" s="144"/>
      <c r="F24" s="62">
        <v>0</v>
      </c>
      <c r="G24" s="63" t="s">
        <v>51</v>
      </c>
      <c r="H24" s="63" t="s">
        <v>51</v>
      </c>
      <c r="I24" s="62">
        <f t="shared" si="0"/>
        <v>0</v>
      </c>
    </row>
    <row r="25" spans="1:9" x14ac:dyDescent="0.25">
      <c r="A25" s="142" t="s">
        <v>223</v>
      </c>
      <c r="B25" s="143"/>
      <c r="C25" s="143"/>
      <c r="D25" s="143"/>
      <c r="E25" s="144"/>
      <c r="F25" s="62">
        <v>0</v>
      </c>
      <c r="G25" s="63" t="s">
        <v>51</v>
      </c>
      <c r="H25" s="63" t="s">
        <v>51</v>
      </c>
      <c r="I25" s="62">
        <f t="shared" si="0"/>
        <v>0</v>
      </c>
    </row>
    <row r="26" spans="1:9" x14ac:dyDescent="0.25">
      <c r="A26" s="145" t="s">
        <v>224</v>
      </c>
      <c r="B26" s="146"/>
      <c r="C26" s="146"/>
      <c r="D26" s="146"/>
      <c r="E26" s="147"/>
      <c r="F26" s="64">
        <v>0</v>
      </c>
      <c r="G26" s="65" t="s">
        <v>51</v>
      </c>
      <c r="H26" s="65" t="s">
        <v>51</v>
      </c>
      <c r="I26" s="64">
        <f t="shared" si="0"/>
        <v>0</v>
      </c>
    </row>
    <row r="27" spans="1:9" x14ac:dyDescent="0.25">
      <c r="A27" s="148" t="s">
        <v>251</v>
      </c>
      <c r="B27" s="149"/>
      <c r="C27" s="149"/>
      <c r="D27" s="149"/>
      <c r="E27" s="150"/>
      <c r="F27" s="66" t="s">
        <v>51</v>
      </c>
      <c r="G27" s="67" t="s">
        <v>51</v>
      </c>
      <c r="H27" s="67" t="s">
        <v>51</v>
      </c>
      <c r="I27" s="68">
        <f>SUM(I21:I26)</f>
        <v>0</v>
      </c>
    </row>
    <row r="29" spans="1:9" ht="15.75" x14ac:dyDescent="0.25">
      <c r="A29" s="151" t="s">
        <v>252</v>
      </c>
      <c r="B29" s="152"/>
      <c r="C29" s="152"/>
      <c r="D29" s="152"/>
      <c r="E29" s="153"/>
      <c r="F29" s="154">
        <f>I18+I27</f>
        <v>0</v>
      </c>
      <c r="G29" s="155"/>
      <c r="H29" s="155"/>
      <c r="I29" s="156"/>
    </row>
    <row r="33" spans="1:9" ht="15.75" x14ac:dyDescent="0.25">
      <c r="A33" s="157" t="s">
        <v>253</v>
      </c>
      <c r="B33" s="157"/>
      <c r="C33" s="157"/>
      <c r="D33" s="157"/>
      <c r="E33" s="157"/>
    </row>
    <row r="34" spans="1:9" x14ac:dyDescent="0.25">
      <c r="A34" s="158" t="s">
        <v>254</v>
      </c>
      <c r="B34" s="159"/>
      <c r="C34" s="159"/>
      <c r="D34" s="159"/>
      <c r="E34" s="160"/>
      <c r="F34" s="61" t="s">
        <v>247</v>
      </c>
      <c r="G34" s="61" t="s">
        <v>248</v>
      </c>
      <c r="H34" s="61" t="s">
        <v>249</v>
      </c>
      <c r="I34" s="61" t="s">
        <v>247</v>
      </c>
    </row>
    <row r="35" spans="1:9" x14ac:dyDescent="0.25">
      <c r="A35" s="142" t="s">
        <v>255</v>
      </c>
      <c r="B35" s="143"/>
      <c r="C35" s="143"/>
      <c r="D35" s="143"/>
      <c r="E35" s="144"/>
      <c r="F35" s="62">
        <f>SUM('Stavební rozpočet'!BM12:BM77)</f>
        <v>0</v>
      </c>
      <c r="G35" s="63" t="s">
        <v>51</v>
      </c>
      <c r="H35" s="63" t="s">
        <v>51</v>
      </c>
      <c r="I35" s="62">
        <f t="shared" ref="I35:I44" si="1">F35</f>
        <v>0</v>
      </c>
    </row>
    <row r="36" spans="1:9" x14ac:dyDescent="0.25">
      <c r="A36" s="142" t="s">
        <v>183</v>
      </c>
      <c r="B36" s="143"/>
      <c r="C36" s="143"/>
      <c r="D36" s="143"/>
      <c r="E36" s="144"/>
      <c r="F36" s="62">
        <f>SUM('Stavební rozpočet'!BN12:BN77)</f>
        <v>0</v>
      </c>
      <c r="G36" s="63" t="s">
        <v>51</v>
      </c>
      <c r="H36" s="63" t="s">
        <v>51</v>
      </c>
      <c r="I36" s="62">
        <f t="shared" si="1"/>
        <v>0</v>
      </c>
    </row>
    <row r="37" spans="1:9" x14ac:dyDescent="0.25">
      <c r="A37" s="142" t="s">
        <v>191</v>
      </c>
      <c r="B37" s="143"/>
      <c r="C37" s="143"/>
      <c r="D37" s="143"/>
      <c r="E37" s="144"/>
      <c r="F37" s="62">
        <f>SUM('Stavební rozpočet'!BO12:BO77)</f>
        <v>0</v>
      </c>
      <c r="G37" s="63" t="s">
        <v>51</v>
      </c>
      <c r="H37" s="63" t="s">
        <v>51</v>
      </c>
      <c r="I37" s="62">
        <f t="shared" si="1"/>
        <v>0</v>
      </c>
    </row>
    <row r="38" spans="1:9" x14ac:dyDescent="0.25">
      <c r="A38" s="142" t="s">
        <v>256</v>
      </c>
      <c r="B38" s="143"/>
      <c r="C38" s="143"/>
      <c r="D38" s="143"/>
      <c r="E38" s="144"/>
      <c r="F38" s="62">
        <f>SUM('Stavební rozpočet'!BP12:BP77)</f>
        <v>0</v>
      </c>
      <c r="G38" s="63" t="s">
        <v>51</v>
      </c>
      <c r="H38" s="63" t="s">
        <v>51</v>
      </c>
      <c r="I38" s="62">
        <f t="shared" si="1"/>
        <v>0</v>
      </c>
    </row>
    <row r="39" spans="1:9" x14ac:dyDescent="0.25">
      <c r="A39" s="142" t="s">
        <v>257</v>
      </c>
      <c r="B39" s="143"/>
      <c r="C39" s="143"/>
      <c r="D39" s="143"/>
      <c r="E39" s="144"/>
      <c r="F39" s="62">
        <f>SUM('Stavební rozpočet'!BQ12:BQ77)</f>
        <v>0</v>
      </c>
      <c r="G39" s="63" t="s">
        <v>51</v>
      </c>
      <c r="H39" s="63" t="s">
        <v>51</v>
      </c>
      <c r="I39" s="62">
        <f t="shared" si="1"/>
        <v>0</v>
      </c>
    </row>
    <row r="40" spans="1:9" x14ac:dyDescent="0.25">
      <c r="A40" s="142" t="s">
        <v>220</v>
      </c>
      <c r="B40" s="143"/>
      <c r="C40" s="143"/>
      <c r="D40" s="143"/>
      <c r="E40" s="144"/>
      <c r="F40" s="62">
        <f>SUM('Stavební rozpočet'!BR12:BR77)</f>
        <v>0</v>
      </c>
      <c r="G40" s="63" t="s">
        <v>51</v>
      </c>
      <c r="H40" s="63" t="s">
        <v>51</v>
      </c>
      <c r="I40" s="62">
        <f t="shared" si="1"/>
        <v>0</v>
      </c>
    </row>
    <row r="41" spans="1:9" x14ac:dyDescent="0.25">
      <c r="A41" s="142" t="s">
        <v>221</v>
      </c>
      <c r="B41" s="143"/>
      <c r="C41" s="143"/>
      <c r="D41" s="143"/>
      <c r="E41" s="144"/>
      <c r="F41" s="62">
        <f>SUM('Stavební rozpočet'!BS12:BS77)</f>
        <v>0</v>
      </c>
      <c r="G41" s="63" t="s">
        <v>51</v>
      </c>
      <c r="H41" s="63" t="s">
        <v>51</v>
      </c>
      <c r="I41" s="62">
        <f t="shared" si="1"/>
        <v>0</v>
      </c>
    </row>
    <row r="42" spans="1:9" x14ac:dyDescent="0.25">
      <c r="A42" s="142" t="s">
        <v>258</v>
      </c>
      <c r="B42" s="143"/>
      <c r="C42" s="143"/>
      <c r="D42" s="143"/>
      <c r="E42" s="144"/>
      <c r="F42" s="62">
        <f>SUM('Stavební rozpočet'!BT12:BT77)</f>
        <v>0</v>
      </c>
      <c r="G42" s="63" t="s">
        <v>51</v>
      </c>
      <c r="H42" s="63" t="s">
        <v>51</v>
      </c>
      <c r="I42" s="62">
        <f t="shared" si="1"/>
        <v>0</v>
      </c>
    </row>
    <row r="43" spans="1:9" x14ac:dyDescent="0.25">
      <c r="A43" s="142" t="s">
        <v>259</v>
      </c>
      <c r="B43" s="143"/>
      <c r="C43" s="143"/>
      <c r="D43" s="143"/>
      <c r="E43" s="144"/>
      <c r="F43" s="62">
        <f>SUM('Stavební rozpočet'!BU12:BU77)</f>
        <v>0</v>
      </c>
      <c r="G43" s="63" t="s">
        <v>51</v>
      </c>
      <c r="H43" s="63" t="s">
        <v>51</v>
      </c>
      <c r="I43" s="62">
        <f t="shared" si="1"/>
        <v>0</v>
      </c>
    </row>
    <row r="44" spans="1:9" x14ac:dyDescent="0.25">
      <c r="A44" s="145" t="s">
        <v>260</v>
      </c>
      <c r="B44" s="146"/>
      <c r="C44" s="146"/>
      <c r="D44" s="146"/>
      <c r="E44" s="147"/>
      <c r="F44" s="64">
        <f>SUM('Stavební rozpočet'!BV12:BV77)</f>
        <v>0</v>
      </c>
      <c r="G44" s="65" t="s">
        <v>51</v>
      </c>
      <c r="H44" s="65" t="s">
        <v>51</v>
      </c>
      <c r="I44" s="64">
        <f t="shared" si="1"/>
        <v>0</v>
      </c>
    </row>
    <row r="45" spans="1:9" x14ac:dyDescent="0.25">
      <c r="A45" s="148" t="s">
        <v>261</v>
      </c>
      <c r="B45" s="149"/>
      <c r="C45" s="149"/>
      <c r="D45" s="149"/>
      <c r="E45" s="150"/>
      <c r="F45" s="66" t="s">
        <v>51</v>
      </c>
      <c r="G45" s="67" t="s">
        <v>51</v>
      </c>
      <c r="H45" s="67" t="s">
        <v>51</v>
      </c>
      <c r="I45" s="68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Stavební rozpočet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Kubíková Liběna Mgr.</cp:lastModifiedBy>
  <dcterms:created xsi:type="dcterms:W3CDTF">2021-06-10T20:06:38Z</dcterms:created>
  <dcterms:modified xsi:type="dcterms:W3CDTF">2025-06-09T09:50:56Z</dcterms:modified>
</cp:coreProperties>
</file>